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REAJUSTE\Permissionárias de Distribuição\2022\07- JULHO\15-Ceris - Ricardo\0 Arquivos finais disponibilizados\"/>
    </mc:Choice>
  </mc:AlternateContent>
  <xr:revisionPtr revIDLastSave="0" documentId="13_ncr:1_{4AF7F7F5-CC1C-427A-BB43-BB4326AA37CA}" xr6:coauthVersionLast="47" xr6:coauthVersionMax="47" xr10:uidLastSave="{00000000-0000-0000-0000-000000000000}"/>
  <bookViews>
    <workbookView xWindow="-21720" yWindow="1080" windowWidth="21840" windowHeight="13140" firstSheet="12" activeTab="15" xr2:uid="{453BF341-3858-4CF9-B784-D2AE22148CEA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28" r:id="rId20"/>
    <sheet name="CONSISTENCIA" sheetId="21" r:id="rId21"/>
    <sheet name="TUSD" sheetId="23" r:id="rId22"/>
    <sheet name="TE" sheetId="24" r:id="rId23"/>
    <sheet name="RESUMO TUSD" sheetId="25" r:id="rId24"/>
    <sheet name="RESUMO TE" sheetId="26" r:id="rId25"/>
    <sheet name="Descontos" sheetId="20" r:id="rId26"/>
    <sheet name="ERD" sheetId="27" r:id="rId27"/>
    <sheet name="TA - Aplicação" sheetId="29" r:id="rId28"/>
    <sheet name="TA - BE" sheetId="30" r:id="rId29"/>
    <sheet name="TA - CVA" sheetId="31" r:id="rId30"/>
  </sheets>
  <definedNames>
    <definedName name="DadosExternos_1" localSheetId="27" hidden="1">'TA - Aplicação'!$B$3:$AR$50</definedName>
    <definedName name="DadosExternos_1" localSheetId="28" hidden="1">'TA - BE'!$B$3:$AR$50</definedName>
    <definedName name="DadosExternos_1" localSheetId="29" hidden="1">'TA - CVA'!$B$3:$AR$50</definedName>
  </definedNames>
  <calcPr calcId="191029" iterate="1"/>
  <pivotCaches>
    <pivotCache cacheId="0" r:id="rId31"/>
    <pivotCache cacheId="1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28" l="1"/>
  <c r="V32" i="28"/>
  <c r="V31" i="28"/>
  <c r="V30" i="28"/>
  <c r="V29" i="28"/>
  <c r="V28" i="28"/>
  <c r="V27" i="28"/>
  <c r="V26" i="28"/>
  <c r="V21" i="28"/>
  <c r="V16" i="28"/>
  <c r="V25" i="28"/>
  <c r="V20" i="28"/>
  <c r="V15" i="28"/>
  <c r="V24" i="28"/>
  <c r="V23" i="28"/>
  <c r="V22" i="28"/>
  <c r="V19" i="28"/>
  <c r="V18" i="28"/>
  <c r="V17" i="28"/>
  <c r="V14" i="28"/>
  <c r="V13" i="28"/>
  <c r="V12" i="28"/>
  <c r="V11" i="28"/>
  <c r="V9" i="28"/>
  <c r="V10" i="28"/>
  <c r="V8" i="28"/>
  <c r="V7" i="28"/>
  <c r="V6" i="28"/>
  <c r="V5" i="28"/>
  <c r="J11" i="28"/>
  <c r="J10" i="28"/>
  <c r="J6" i="28"/>
  <c r="J5" i="28"/>
  <c r="I3" i="27"/>
  <c r="B2" i="27"/>
  <c r="C2" i="27"/>
  <c r="D2" i="27"/>
  <c r="E2" i="27"/>
  <c r="F2" i="27"/>
  <c r="G2" i="27"/>
  <c r="H2" i="27"/>
  <c r="I2" i="27"/>
  <c r="J2" i="27"/>
  <c r="K2" i="27"/>
  <c r="L2" i="27"/>
  <c r="B11" i="27"/>
  <c r="L5" i="26" l="1"/>
  <c r="K5" i="26"/>
  <c r="J5" i="26"/>
  <c r="I5" i="26"/>
  <c r="H5" i="26"/>
  <c r="G5" i="26"/>
  <c r="F5" i="26"/>
  <c r="E5" i="26"/>
  <c r="D5" i="26"/>
  <c r="C5" i="26"/>
  <c r="B5" i="26"/>
  <c r="I2" i="26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I2" i="25"/>
  <c r="AE13" i="21"/>
  <c r="AD13" i="21"/>
  <c r="AC13" i="21"/>
  <c r="AB13" i="21"/>
  <c r="AA13" i="21"/>
  <c r="W13" i="21"/>
  <c r="V13" i="21"/>
  <c r="U13" i="21"/>
  <c r="AI13" i="21" s="1"/>
  <c r="T13" i="21"/>
  <c r="S13" i="21"/>
  <c r="Y13" i="21" s="1"/>
  <c r="R13" i="21"/>
  <c r="AE12" i="21"/>
  <c r="AD12" i="21"/>
  <c r="AE8" i="21"/>
  <c r="AD8" i="21"/>
  <c r="AC8" i="21"/>
  <c r="AB8" i="21"/>
  <c r="AA8" i="21"/>
  <c r="W8" i="21"/>
  <c r="Z8" i="21" s="1"/>
  <c r="V8" i="21"/>
  <c r="U8" i="21"/>
  <c r="AI8" i="21" s="1"/>
  <c r="T8" i="21"/>
  <c r="S8" i="21"/>
  <c r="Y8" i="21" s="1"/>
  <c r="R8" i="21"/>
  <c r="AE7" i="21"/>
  <c r="AD7" i="21"/>
  <c r="AE6" i="21"/>
  <c r="AD6" i="21"/>
  <c r="AC6" i="21"/>
  <c r="AB6" i="21"/>
  <c r="AA6" i="21"/>
  <c r="W6" i="21"/>
  <c r="V6" i="21"/>
  <c r="U6" i="21"/>
  <c r="T6" i="21"/>
  <c r="S6" i="21"/>
  <c r="R6" i="21"/>
  <c r="AE5" i="21"/>
  <c r="AD5" i="21"/>
  <c r="AC5" i="21"/>
  <c r="AB5" i="21"/>
  <c r="AA5" i="21"/>
  <c r="W5" i="21"/>
  <c r="V5" i="21"/>
  <c r="U5" i="21"/>
  <c r="T5" i="21"/>
  <c r="S5" i="21"/>
  <c r="Y5" i="21" s="1"/>
  <c r="R5" i="21"/>
  <c r="AE4" i="21"/>
  <c r="AD4" i="21"/>
  <c r="AC4" i="21"/>
  <c r="AB4" i="21"/>
  <c r="AA4" i="21"/>
  <c r="W4" i="21"/>
  <c r="V4" i="21"/>
  <c r="U4" i="21"/>
  <c r="AI4" i="21" s="1"/>
  <c r="T4" i="21"/>
  <c r="S4" i="21"/>
  <c r="R4" i="21"/>
  <c r="X4" i="21" s="1"/>
  <c r="AE3" i="21"/>
  <c r="AD3" i="21"/>
  <c r="AC3" i="21"/>
  <c r="AB3" i="21"/>
  <c r="AA3" i="21"/>
  <c r="Y3" i="21"/>
  <c r="AG3" i="21" s="1"/>
  <c r="W3" i="21"/>
  <c r="V3" i="21"/>
  <c r="U3" i="21"/>
  <c r="T3" i="21"/>
  <c r="S3" i="21"/>
  <c r="R3" i="21"/>
  <c r="X3" i="21" s="1"/>
  <c r="AF3" i="21" s="1"/>
  <c r="J229" i="21"/>
  <c r="M229" i="21" s="1"/>
  <c r="J228" i="21"/>
  <c r="M228" i="21" s="1"/>
  <c r="J227" i="21"/>
  <c r="J226" i="21"/>
  <c r="J225" i="21"/>
  <c r="M225" i="21" s="1"/>
  <c r="J224" i="21"/>
  <c r="M224" i="21" s="1"/>
  <c r="J223" i="21"/>
  <c r="M223" i="21" s="1"/>
  <c r="J222" i="21"/>
  <c r="M222" i="21" s="1"/>
  <c r="J221" i="21"/>
  <c r="J220" i="21"/>
  <c r="M220" i="21" s="1"/>
  <c r="J219" i="21"/>
  <c r="M219" i="21" s="1"/>
  <c r="J218" i="21"/>
  <c r="J241" i="21"/>
  <c r="M241" i="21" s="1"/>
  <c r="J240" i="21"/>
  <c r="M240" i="21" s="1"/>
  <c r="J239" i="21"/>
  <c r="M239" i="21" s="1"/>
  <c r="J238" i="21"/>
  <c r="M238" i="21" s="1"/>
  <c r="J237" i="21"/>
  <c r="M237" i="21" s="1"/>
  <c r="M236" i="21"/>
  <c r="J236" i="21"/>
  <c r="J235" i="21"/>
  <c r="M235" i="21" s="1"/>
  <c r="J234" i="21"/>
  <c r="M234" i="21" s="1"/>
  <c r="J233" i="21"/>
  <c r="M233" i="21" s="1"/>
  <c r="J232" i="21"/>
  <c r="M232" i="21" s="1"/>
  <c r="J231" i="21"/>
  <c r="M231" i="21" s="1"/>
  <c r="J230" i="21"/>
  <c r="M227" i="21"/>
  <c r="M226" i="21"/>
  <c r="M221" i="21"/>
  <c r="M218" i="21"/>
  <c r="J217" i="21"/>
  <c r="M217" i="21" s="1"/>
  <c r="M216" i="21"/>
  <c r="J216" i="21"/>
  <c r="J215" i="21"/>
  <c r="M215" i="21" s="1"/>
  <c r="J214" i="21"/>
  <c r="M214" i="21" s="1"/>
  <c r="J213" i="21"/>
  <c r="M213" i="21" s="1"/>
  <c r="M212" i="21"/>
  <c r="J212" i="21"/>
  <c r="J211" i="21"/>
  <c r="M211" i="21" s="1"/>
  <c r="J210" i="21"/>
  <c r="M210" i="21" s="1"/>
  <c r="J209" i="21"/>
  <c r="M209" i="21" s="1"/>
  <c r="M208" i="21"/>
  <c r="J208" i="21"/>
  <c r="J207" i="21"/>
  <c r="M207" i="21" s="1"/>
  <c r="J206" i="21"/>
  <c r="M206" i="21" s="1"/>
  <c r="J205" i="21"/>
  <c r="M205" i="21" s="1"/>
  <c r="M204" i="21"/>
  <c r="J204" i="21"/>
  <c r="J203" i="21"/>
  <c r="M203" i="21" s="1"/>
  <c r="J202" i="21"/>
  <c r="M202" i="21" s="1"/>
  <c r="J201" i="21"/>
  <c r="M201" i="21" s="1"/>
  <c r="M200" i="21"/>
  <c r="J200" i="21"/>
  <c r="J199" i="21"/>
  <c r="M199" i="21" s="1"/>
  <c r="J198" i="21"/>
  <c r="M198" i="21" s="1"/>
  <c r="J197" i="21"/>
  <c r="M197" i="21" s="1"/>
  <c r="M196" i="21"/>
  <c r="J196" i="21"/>
  <c r="J195" i="21"/>
  <c r="M195" i="21" s="1"/>
  <c r="J194" i="21"/>
  <c r="M194" i="21" s="1"/>
  <c r="J193" i="21"/>
  <c r="M193" i="21" s="1"/>
  <c r="J192" i="21"/>
  <c r="M192" i="21" s="1"/>
  <c r="J191" i="21"/>
  <c r="M191" i="21" s="1"/>
  <c r="J190" i="21"/>
  <c r="M190" i="21" s="1"/>
  <c r="J189" i="21"/>
  <c r="M189" i="21" s="1"/>
  <c r="M188" i="21"/>
  <c r="J188" i="21"/>
  <c r="J187" i="21"/>
  <c r="M187" i="21" s="1"/>
  <c r="J186" i="21"/>
  <c r="M186" i="21" s="1"/>
  <c r="J185" i="21"/>
  <c r="M185" i="21" s="1"/>
  <c r="J184" i="21"/>
  <c r="M184" i="21" s="1"/>
  <c r="J183" i="21"/>
  <c r="M183" i="21" s="1"/>
  <c r="J182" i="21"/>
  <c r="M182" i="21" s="1"/>
  <c r="M181" i="21"/>
  <c r="J181" i="21"/>
  <c r="J180" i="21"/>
  <c r="M180" i="21" s="1"/>
  <c r="J179" i="21"/>
  <c r="M179" i="21" s="1"/>
  <c r="J178" i="21"/>
  <c r="M178" i="21" s="1"/>
  <c r="M177" i="21"/>
  <c r="J177" i="21"/>
  <c r="J176" i="21"/>
  <c r="M176" i="21" s="1"/>
  <c r="J175" i="21"/>
  <c r="M175" i="21" s="1"/>
  <c r="J174" i="21"/>
  <c r="M174" i="21" s="1"/>
  <c r="J173" i="21"/>
  <c r="M173" i="21" s="1"/>
  <c r="J172" i="21"/>
  <c r="M172" i="21" s="1"/>
  <c r="J171" i="21"/>
  <c r="M171" i="21" s="1"/>
  <c r="J170" i="21"/>
  <c r="M170" i="21" s="1"/>
  <c r="J169" i="21"/>
  <c r="M169" i="21" s="1"/>
  <c r="J168" i="21"/>
  <c r="M168" i="21" s="1"/>
  <c r="J167" i="21"/>
  <c r="M167" i="21" s="1"/>
  <c r="J166" i="21"/>
  <c r="M166" i="21" s="1"/>
  <c r="J165" i="21"/>
  <c r="M165" i="21" s="1"/>
  <c r="J164" i="21"/>
  <c r="M164" i="21" s="1"/>
  <c r="J163" i="21"/>
  <c r="M163" i="21" s="1"/>
  <c r="J162" i="21"/>
  <c r="M162" i="21" s="1"/>
  <c r="J161" i="21"/>
  <c r="M161" i="21" s="1"/>
  <c r="J160" i="21"/>
  <c r="M160" i="21" s="1"/>
  <c r="J159" i="21"/>
  <c r="M159" i="21" s="1"/>
  <c r="J158" i="21"/>
  <c r="M158" i="21" s="1"/>
  <c r="J157" i="21"/>
  <c r="M157" i="21" s="1"/>
  <c r="J156" i="21"/>
  <c r="M156" i="21" s="1"/>
  <c r="J155" i="21"/>
  <c r="M155" i="21" s="1"/>
  <c r="J154" i="21"/>
  <c r="M154" i="21" s="1"/>
  <c r="J153" i="21"/>
  <c r="M153" i="21" s="1"/>
  <c r="J152" i="21"/>
  <c r="M152" i="21" s="1"/>
  <c r="J151" i="21"/>
  <c r="M151" i="21" s="1"/>
  <c r="J150" i="21"/>
  <c r="M150" i="21" s="1"/>
  <c r="J149" i="21"/>
  <c r="M149" i="21" s="1"/>
  <c r="J148" i="21"/>
  <c r="M148" i="21" s="1"/>
  <c r="J147" i="21"/>
  <c r="M147" i="21" s="1"/>
  <c r="J146" i="21"/>
  <c r="M146" i="21" s="1"/>
  <c r="J145" i="21"/>
  <c r="M145" i="21" s="1"/>
  <c r="J144" i="21"/>
  <c r="M144" i="21" s="1"/>
  <c r="J143" i="21"/>
  <c r="M143" i="21" s="1"/>
  <c r="J142" i="21"/>
  <c r="M142" i="21" s="1"/>
  <c r="J141" i="21"/>
  <c r="M141" i="21" s="1"/>
  <c r="J140" i="21"/>
  <c r="M140" i="21" s="1"/>
  <c r="J139" i="21"/>
  <c r="M139" i="21" s="1"/>
  <c r="J138" i="21"/>
  <c r="M138" i="21" s="1"/>
  <c r="J137" i="21"/>
  <c r="M137" i="21" s="1"/>
  <c r="J136" i="21"/>
  <c r="M136" i="21" s="1"/>
  <c r="J135" i="21"/>
  <c r="M135" i="21" s="1"/>
  <c r="J134" i="21"/>
  <c r="M134" i="21" s="1"/>
  <c r="J133" i="21"/>
  <c r="M133" i="21" s="1"/>
  <c r="J132" i="21"/>
  <c r="M132" i="21" s="1"/>
  <c r="J131" i="21"/>
  <c r="M131" i="21" s="1"/>
  <c r="J130" i="21"/>
  <c r="M130" i="21" s="1"/>
  <c r="J129" i="21"/>
  <c r="M129" i="21" s="1"/>
  <c r="J128" i="21"/>
  <c r="M128" i="21" s="1"/>
  <c r="J127" i="21"/>
  <c r="M127" i="21" s="1"/>
  <c r="M126" i="21"/>
  <c r="J126" i="21"/>
  <c r="J125" i="21"/>
  <c r="M125" i="21" s="1"/>
  <c r="J124" i="21"/>
  <c r="M124" i="21" s="1"/>
  <c r="J123" i="21"/>
  <c r="M123" i="21" s="1"/>
  <c r="M122" i="21"/>
  <c r="J122" i="21"/>
  <c r="J121" i="21"/>
  <c r="M121" i="21" s="1"/>
  <c r="J120" i="21"/>
  <c r="M120" i="21" s="1"/>
  <c r="J119" i="21"/>
  <c r="M119" i="21" s="1"/>
  <c r="M118" i="21"/>
  <c r="J118" i="21"/>
  <c r="J117" i="21"/>
  <c r="M117" i="21" s="1"/>
  <c r="J116" i="21"/>
  <c r="M116" i="21" s="1"/>
  <c r="J115" i="21"/>
  <c r="M115" i="21" s="1"/>
  <c r="M114" i="21"/>
  <c r="J114" i="21"/>
  <c r="J113" i="21"/>
  <c r="M113" i="21" s="1"/>
  <c r="J112" i="21"/>
  <c r="M112" i="21" s="1"/>
  <c r="J111" i="21"/>
  <c r="M111" i="21" s="1"/>
  <c r="M110" i="21"/>
  <c r="J110" i="21"/>
  <c r="J109" i="21"/>
  <c r="M109" i="21" s="1"/>
  <c r="J108" i="21"/>
  <c r="M108" i="21" s="1"/>
  <c r="J107" i="21"/>
  <c r="M107" i="21" s="1"/>
  <c r="M106" i="21"/>
  <c r="J106" i="21"/>
  <c r="J105" i="21"/>
  <c r="M105" i="21" s="1"/>
  <c r="J104" i="21"/>
  <c r="M104" i="21" s="1"/>
  <c r="J103" i="21"/>
  <c r="M103" i="21" s="1"/>
  <c r="M102" i="21"/>
  <c r="J102" i="21"/>
  <c r="J101" i="21"/>
  <c r="M101" i="21" s="1"/>
  <c r="J100" i="21"/>
  <c r="M100" i="21" s="1"/>
  <c r="J99" i="21"/>
  <c r="M99" i="21" s="1"/>
  <c r="M98" i="21"/>
  <c r="J98" i="21"/>
  <c r="J97" i="21"/>
  <c r="M97" i="21" s="1"/>
  <c r="J96" i="21"/>
  <c r="M96" i="21" s="1"/>
  <c r="J95" i="21"/>
  <c r="M95" i="21" s="1"/>
  <c r="M94" i="21"/>
  <c r="J94" i="21"/>
  <c r="J93" i="21"/>
  <c r="M93" i="21" s="1"/>
  <c r="J92" i="21"/>
  <c r="M92" i="21" s="1"/>
  <c r="J91" i="21"/>
  <c r="M91" i="21" s="1"/>
  <c r="M90" i="21"/>
  <c r="J90" i="21"/>
  <c r="J89" i="21"/>
  <c r="M89" i="21" s="1"/>
  <c r="J88" i="21"/>
  <c r="M88" i="21" s="1"/>
  <c r="J87" i="21"/>
  <c r="M87" i="21" s="1"/>
  <c r="M86" i="21"/>
  <c r="J86" i="21"/>
  <c r="J85" i="21"/>
  <c r="M85" i="21" s="1"/>
  <c r="J84" i="21"/>
  <c r="M84" i="21" s="1"/>
  <c r="J83" i="21"/>
  <c r="M83" i="21" s="1"/>
  <c r="M82" i="21"/>
  <c r="J82" i="21"/>
  <c r="J81" i="21"/>
  <c r="M81" i="21" s="1"/>
  <c r="J80" i="21"/>
  <c r="M80" i="21" s="1"/>
  <c r="J79" i="21"/>
  <c r="M79" i="21" s="1"/>
  <c r="M78" i="21"/>
  <c r="J78" i="21"/>
  <c r="J77" i="21"/>
  <c r="M77" i="21" s="1"/>
  <c r="J76" i="21"/>
  <c r="M76" i="21" s="1"/>
  <c r="J75" i="21"/>
  <c r="M75" i="21" s="1"/>
  <c r="M74" i="21"/>
  <c r="J74" i="21"/>
  <c r="J73" i="21"/>
  <c r="M73" i="21" s="1"/>
  <c r="J72" i="21"/>
  <c r="M72" i="21" s="1"/>
  <c r="J71" i="21"/>
  <c r="M71" i="21" s="1"/>
  <c r="M70" i="21"/>
  <c r="J70" i="21"/>
  <c r="J69" i="21"/>
  <c r="M69" i="21" s="1"/>
  <c r="J68" i="21"/>
  <c r="M68" i="21" s="1"/>
  <c r="J67" i="21"/>
  <c r="M67" i="21" s="1"/>
  <c r="M66" i="21"/>
  <c r="J66" i="21"/>
  <c r="J65" i="21"/>
  <c r="J64" i="21"/>
  <c r="M64" i="21" s="1"/>
  <c r="J63" i="21"/>
  <c r="M63" i="21" s="1"/>
  <c r="M62" i="21"/>
  <c r="J62" i="21"/>
  <c r="J61" i="21"/>
  <c r="M61" i="21" s="1"/>
  <c r="J60" i="21"/>
  <c r="M60" i="21" s="1"/>
  <c r="J59" i="21"/>
  <c r="M59" i="21" s="1"/>
  <c r="J58" i="21"/>
  <c r="M58" i="21" s="1"/>
  <c r="J57" i="21"/>
  <c r="M57" i="21" s="1"/>
  <c r="J56" i="21"/>
  <c r="M56" i="21" s="1"/>
  <c r="L55" i="21"/>
  <c r="O55" i="21" s="1"/>
  <c r="K55" i="21"/>
  <c r="N55" i="21" s="1"/>
  <c r="L54" i="21"/>
  <c r="O54" i="21" s="1"/>
  <c r="K54" i="21"/>
  <c r="N54" i="21" s="1"/>
  <c r="O53" i="21"/>
  <c r="L53" i="21"/>
  <c r="K53" i="21"/>
  <c r="N53" i="21" s="1"/>
  <c r="L52" i="21"/>
  <c r="O52" i="21" s="1"/>
  <c r="K52" i="21"/>
  <c r="N52" i="21" s="1"/>
  <c r="L51" i="21"/>
  <c r="O51" i="21" s="1"/>
  <c r="K51" i="21"/>
  <c r="N51" i="21" s="1"/>
  <c r="L50" i="21"/>
  <c r="O50" i="21" s="1"/>
  <c r="K50" i="21"/>
  <c r="N50" i="21" s="1"/>
  <c r="O49" i="21"/>
  <c r="L49" i="21"/>
  <c r="K49" i="21"/>
  <c r="N49" i="21" s="1"/>
  <c r="L48" i="21"/>
  <c r="O48" i="21" s="1"/>
  <c r="K48" i="21"/>
  <c r="N48" i="21" s="1"/>
  <c r="L47" i="21"/>
  <c r="O47" i="21" s="1"/>
  <c r="K47" i="21"/>
  <c r="N47" i="21" s="1"/>
  <c r="J46" i="21"/>
  <c r="M46" i="21" s="1"/>
  <c r="J45" i="21"/>
  <c r="M45" i="21" s="1"/>
  <c r="M44" i="21"/>
  <c r="J44" i="21"/>
  <c r="J43" i="21"/>
  <c r="M43" i="21" s="1"/>
  <c r="J42" i="21"/>
  <c r="M42" i="21" s="1"/>
  <c r="J41" i="21"/>
  <c r="M41" i="21" s="1"/>
  <c r="M40" i="21"/>
  <c r="J40" i="21"/>
  <c r="J39" i="21"/>
  <c r="M39" i="21" s="1"/>
  <c r="J38" i="21"/>
  <c r="M38" i="21" s="1"/>
  <c r="J37" i="21"/>
  <c r="M37" i="21" s="1"/>
  <c r="M36" i="21"/>
  <c r="J36" i="21"/>
  <c r="J35" i="21"/>
  <c r="M35" i="21" s="1"/>
  <c r="J34" i="21"/>
  <c r="M34" i="21" s="1"/>
  <c r="J33" i="21"/>
  <c r="M33" i="21" s="1"/>
  <c r="M32" i="21"/>
  <c r="J32" i="21"/>
  <c r="J31" i="21"/>
  <c r="M31" i="21" s="1"/>
  <c r="J30" i="21"/>
  <c r="M30" i="21" s="1"/>
  <c r="J29" i="21"/>
  <c r="M29" i="21" s="1"/>
  <c r="M28" i="21"/>
  <c r="J28" i="21"/>
  <c r="J27" i="21"/>
  <c r="M27" i="21" s="1"/>
  <c r="J26" i="21"/>
  <c r="M26" i="21" s="1"/>
  <c r="L25" i="21"/>
  <c r="O25" i="21" s="1"/>
  <c r="K25" i="21"/>
  <c r="N25" i="21" s="1"/>
  <c r="L24" i="21"/>
  <c r="O24" i="21" s="1"/>
  <c r="K24" i="21"/>
  <c r="N24" i="21" s="1"/>
  <c r="L23" i="21"/>
  <c r="O23" i="21" s="1"/>
  <c r="K23" i="21"/>
  <c r="N23" i="21" s="1"/>
  <c r="L22" i="21"/>
  <c r="O22" i="21" s="1"/>
  <c r="K22" i="21"/>
  <c r="N22" i="21" s="1"/>
  <c r="O21" i="21"/>
  <c r="L21" i="21"/>
  <c r="K21" i="21"/>
  <c r="N21" i="21" s="1"/>
  <c r="N20" i="21"/>
  <c r="L20" i="21"/>
  <c r="O20" i="21" s="1"/>
  <c r="K20" i="21"/>
  <c r="O19" i="21"/>
  <c r="N19" i="21"/>
  <c r="L19" i="21"/>
  <c r="K19" i="21"/>
  <c r="N18" i="21"/>
  <c r="L18" i="21"/>
  <c r="O18" i="21" s="1"/>
  <c r="K18" i="21"/>
  <c r="N17" i="21"/>
  <c r="L17" i="21"/>
  <c r="O17" i="21" s="1"/>
  <c r="K17" i="21"/>
  <c r="L16" i="21"/>
  <c r="O16" i="21" s="1"/>
  <c r="K16" i="21"/>
  <c r="N16" i="21" s="1"/>
  <c r="L15" i="21"/>
  <c r="O15" i="21" s="1"/>
  <c r="K15" i="21"/>
  <c r="N15" i="21" s="1"/>
  <c r="L14" i="21"/>
  <c r="O14" i="21" s="1"/>
  <c r="K14" i="21"/>
  <c r="N14" i="21" s="1"/>
  <c r="J13" i="21"/>
  <c r="M13" i="21" s="1"/>
  <c r="M12" i="21"/>
  <c r="J12" i="21"/>
  <c r="J11" i="21"/>
  <c r="M11" i="21" s="1"/>
  <c r="J10" i="21"/>
  <c r="M10" i="21" s="1"/>
  <c r="J9" i="21"/>
  <c r="M9" i="21" s="1"/>
  <c r="M8" i="21"/>
  <c r="J8" i="21"/>
  <c r="J7" i="21"/>
  <c r="M7" i="21" s="1"/>
  <c r="J6" i="21"/>
  <c r="M6" i="21" s="1"/>
  <c r="J5" i="21"/>
  <c r="M5" i="21" s="1"/>
  <c r="M4" i="21"/>
  <c r="J4" i="21"/>
  <c r="J3" i="21"/>
  <c r="M3" i="21" s="1"/>
  <c r="J2" i="21"/>
  <c r="M2" i="21" s="1"/>
  <c r="X229" i="16"/>
  <c r="W229" i="16"/>
  <c r="X228" i="16"/>
  <c r="W228" i="16"/>
  <c r="X227" i="16"/>
  <c r="W227" i="16"/>
  <c r="X226" i="16"/>
  <c r="W226" i="16"/>
  <c r="X225" i="16"/>
  <c r="W225" i="16"/>
  <c r="X224" i="16"/>
  <c r="W224" i="16"/>
  <c r="X223" i="16"/>
  <c r="W223" i="16"/>
  <c r="X222" i="16"/>
  <c r="W222" i="16"/>
  <c r="X221" i="16"/>
  <c r="W221" i="16"/>
  <c r="X220" i="16"/>
  <c r="W220" i="16"/>
  <c r="X219" i="16"/>
  <c r="W219" i="16"/>
  <c r="X218" i="16"/>
  <c r="W218" i="16"/>
  <c r="AD81" i="17"/>
  <c r="X81" i="17"/>
  <c r="W81" i="17"/>
  <c r="AC81" i="17" s="1"/>
  <c r="AD80" i="17"/>
  <c r="X80" i="17"/>
  <c r="W80" i="17"/>
  <c r="AC80" i="17" s="1"/>
  <c r="AD79" i="17"/>
  <c r="X79" i="17"/>
  <c r="W79" i="17"/>
  <c r="AC79" i="17" s="1"/>
  <c r="AD78" i="17"/>
  <c r="X78" i="17"/>
  <c r="W78" i="17"/>
  <c r="AC78" i="17" s="1"/>
  <c r="AD77" i="17"/>
  <c r="X77" i="17"/>
  <c r="W77" i="17"/>
  <c r="AC77" i="17" s="1"/>
  <c r="AD76" i="17"/>
  <c r="X76" i="17"/>
  <c r="W76" i="17"/>
  <c r="AC76" i="17" s="1"/>
  <c r="AD75" i="17"/>
  <c r="X75" i="17"/>
  <c r="W75" i="17"/>
  <c r="AC75" i="17" s="1"/>
  <c r="AD74" i="17"/>
  <c r="X74" i="17"/>
  <c r="W74" i="17"/>
  <c r="AC74" i="17" s="1"/>
  <c r="AD73" i="17"/>
  <c r="X73" i="17"/>
  <c r="W73" i="17"/>
  <c r="AC73" i="17" s="1"/>
  <c r="AD72" i="17"/>
  <c r="X72" i="17"/>
  <c r="W72" i="17"/>
  <c r="AC72" i="17" s="1"/>
  <c r="AD71" i="17"/>
  <c r="X71" i="17"/>
  <c r="W71" i="17"/>
  <c r="AC71" i="17" s="1"/>
  <c r="AD70" i="17"/>
  <c r="AD11" i="21" s="1"/>
  <c r="X70" i="17"/>
  <c r="W70" i="17"/>
  <c r="AC70" i="17" s="1"/>
  <c r="M40" i="5"/>
  <c r="M39" i="5"/>
  <c r="M38" i="5"/>
  <c r="AJ9" i="17"/>
  <c r="AI9" i="17"/>
  <c r="AJ7" i="17"/>
  <c r="AI7" i="17"/>
  <c r="AJ4" i="17"/>
  <c r="AI4" i="17"/>
  <c r="AJ3" i="17"/>
  <c r="AI3" i="17"/>
  <c r="AJ2" i="17"/>
  <c r="AI2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10" i="21" s="1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AD9" i="21" s="1"/>
  <c r="V81" i="17"/>
  <c r="AB81" i="17" s="1"/>
  <c r="V80" i="17"/>
  <c r="AB80" i="17" s="1"/>
  <c r="V79" i="17"/>
  <c r="AB79" i="17" s="1"/>
  <c r="V78" i="17"/>
  <c r="AB78" i="17" s="1"/>
  <c r="V77" i="17"/>
  <c r="AB77" i="17" s="1"/>
  <c r="V76" i="17"/>
  <c r="AB76" i="17" s="1"/>
  <c r="V75" i="17"/>
  <c r="AB75" i="17" s="1"/>
  <c r="V74" i="17"/>
  <c r="AB74" i="17" s="1"/>
  <c r="V73" i="17"/>
  <c r="AB73" i="17" s="1"/>
  <c r="V72" i="17"/>
  <c r="AB72" i="17" s="1"/>
  <c r="V71" i="17"/>
  <c r="AB71" i="17" s="1"/>
  <c r="V70" i="17"/>
  <c r="AB70" i="17" s="1"/>
  <c r="X69" i="17"/>
  <c r="W69" i="17"/>
  <c r="V69" i="17"/>
  <c r="AB69" i="17" s="1"/>
  <c r="X68" i="17"/>
  <c r="W68" i="17"/>
  <c r="V68" i="17"/>
  <c r="AB68" i="17" s="1"/>
  <c r="X67" i="17"/>
  <c r="W67" i="17"/>
  <c r="V67" i="17"/>
  <c r="AB67" i="17" s="1"/>
  <c r="X66" i="17"/>
  <c r="W66" i="17"/>
  <c r="V66" i="17"/>
  <c r="AB66" i="17" s="1"/>
  <c r="X65" i="17"/>
  <c r="W65" i="17"/>
  <c r="V65" i="17"/>
  <c r="AB65" i="17" s="1"/>
  <c r="X64" i="17"/>
  <c r="W64" i="17"/>
  <c r="V64" i="17"/>
  <c r="AB64" i="17" s="1"/>
  <c r="X63" i="17"/>
  <c r="W63" i="17"/>
  <c r="V63" i="17"/>
  <c r="AB63" i="17" s="1"/>
  <c r="X62" i="17"/>
  <c r="W62" i="17"/>
  <c r="V62" i="17"/>
  <c r="AB62" i="17" s="1"/>
  <c r="X61" i="17"/>
  <c r="W61" i="17"/>
  <c r="V61" i="17"/>
  <c r="AB61" i="17" s="1"/>
  <c r="X60" i="17"/>
  <c r="W60" i="17"/>
  <c r="V60" i="17"/>
  <c r="AB60" i="17" s="1"/>
  <c r="X59" i="17"/>
  <c r="W59" i="17"/>
  <c r="V59" i="17"/>
  <c r="AB59" i="17" s="1"/>
  <c r="X58" i="17"/>
  <c r="W58" i="17"/>
  <c r="V58" i="17"/>
  <c r="AB58" i="17" s="1"/>
  <c r="X57" i="17"/>
  <c r="W57" i="17"/>
  <c r="V57" i="17"/>
  <c r="AB57" i="17" s="1"/>
  <c r="X56" i="17"/>
  <c r="W56" i="17"/>
  <c r="V56" i="17"/>
  <c r="AB56" i="17" s="1"/>
  <c r="X55" i="17"/>
  <c r="W55" i="17"/>
  <c r="V55" i="17"/>
  <c r="AB55" i="17" s="1"/>
  <c r="X54" i="17"/>
  <c r="W54" i="17"/>
  <c r="V54" i="17"/>
  <c r="AB54" i="17" s="1"/>
  <c r="X53" i="17"/>
  <c r="W53" i="17"/>
  <c r="V53" i="17"/>
  <c r="AB53" i="17" s="1"/>
  <c r="X52" i="17"/>
  <c r="W52" i="17"/>
  <c r="V52" i="17"/>
  <c r="AB52" i="17" s="1"/>
  <c r="X51" i="17"/>
  <c r="W51" i="17"/>
  <c r="V51" i="17"/>
  <c r="AB51" i="17" s="1"/>
  <c r="X50" i="17"/>
  <c r="W50" i="17"/>
  <c r="V50" i="17"/>
  <c r="AB50" i="17" s="1"/>
  <c r="X49" i="17"/>
  <c r="W49" i="17"/>
  <c r="AC49" i="17" s="1"/>
  <c r="V49" i="17"/>
  <c r="AB49" i="17" s="1"/>
  <c r="X48" i="17"/>
  <c r="W48" i="17"/>
  <c r="V48" i="17"/>
  <c r="AB48" i="17" s="1"/>
  <c r="X47" i="17"/>
  <c r="W47" i="17"/>
  <c r="V47" i="17"/>
  <c r="AB47" i="17" s="1"/>
  <c r="X46" i="17"/>
  <c r="W46" i="17"/>
  <c r="V46" i="17"/>
  <c r="AB46" i="17" s="1"/>
  <c r="X45" i="17"/>
  <c r="W45" i="17"/>
  <c r="V45" i="17"/>
  <c r="AB45" i="17" s="1"/>
  <c r="X44" i="17"/>
  <c r="W44" i="17"/>
  <c r="V44" i="17"/>
  <c r="AB44" i="17" s="1"/>
  <c r="X43" i="17"/>
  <c r="W43" i="17"/>
  <c r="V43" i="17"/>
  <c r="AB43" i="17" s="1"/>
  <c r="X42" i="17"/>
  <c r="W42" i="17"/>
  <c r="V42" i="17"/>
  <c r="AB42" i="17" s="1"/>
  <c r="X41" i="17"/>
  <c r="W41" i="17"/>
  <c r="AC41" i="17" s="1"/>
  <c r="V41" i="17"/>
  <c r="AB41" i="17" s="1"/>
  <c r="X40" i="17"/>
  <c r="W40" i="17"/>
  <c r="AC40" i="17" s="1"/>
  <c r="V40" i="17"/>
  <c r="AB40" i="17" s="1"/>
  <c r="X39" i="17"/>
  <c r="W39" i="17"/>
  <c r="V39" i="17"/>
  <c r="AB39" i="17" s="1"/>
  <c r="X38" i="17"/>
  <c r="W38" i="17"/>
  <c r="V38" i="17"/>
  <c r="AB38" i="17" s="1"/>
  <c r="X37" i="17"/>
  <c r="W37" i="17"/>
  <c r="V37" i="17"/>
  <c r="AB37" i="17" s="1"/>
  <c r="X36" i="17"/>
  <c r="W36" i="17"/>
  <c r="AC36" i="17" s="1"/>
  <c r="V36" i="17"/>
  <c r="AB36" i="17" s="1"/>
  <c r="X35" i="17"/>
  <c r="W35" i="17"/>
  <c r="V35" i="17"/>
  <c r="AB35" i="17" s="1"/>
  <c r="X34" i="17"/>
  <c r="W34" i="17"/>
  <c r="V34" i="17"/>
  <c r="AB34" i="17" s="1"/>
  <c r="X33" i="17"/>
  <c r="W33" i="17"/>
  <c r="AC33" i="17" s="1"/>
  <c r="V33" i="17"/>
  <c r="AB33" i="17" s="1"/>
  <c r="X32" i="17"/>
  <c r="W32" i="17"/>
  <c r="AC32" i="17" s="1"/>
  <c r="V32" i="17"/>
  <c r="AB32" i="17" s="1"/>
  <c r="X31" i="17"/>
  <c r="W31" i="17"/>
  <c r="V31" i="17"/>
  <c r="AB31" i="17" s="1"/>
  <c r="X30" i="17"/>
  <c r="W30" i="17"/>
  <c r="V30" i="17"/>
  <c r="AB30" i="17" s="1"/>
  <c r="X29" i="17"/>
  <c r="W29" i="17"/>
  <c r="V29" i="17"/>
  <c r="AB29" i="17" s="1"/>
  <c r="X28" i="17"/>
  <c r="W28" i="17"/>
  <c r="AC28" i="17" s="1"/>
  <c r="V28" i="17"/>
  <c r="AB28" i="17" s="1"/>
  <c r="X27" i="17"/>
  <c r="W27" i="17"/>
  <c r="V27" i="17"/>
  <c r="AB27" i="17" s="1"/>
  <c r="X26" i="17"/>
  <c r="W26" i="17"/>
  <c r="V26" i="17"/>
  <c r="AB26" i="17" s="1"/>
  <c r="X25" i="17"/>
  <c r="W25" i="17"/>
  <c r="AC25" i="17" s="1"/>
  <c r="V25" i="17"/>
  <c r="AB25" i="17" s="1"/>
  <c r="X24" i="17"/>
  <c r="W24" i="17"/>
  <c r="AC24" i="17" s="1"/>
  <c r="V24" i="17"/>
  <c r="AB24" i="17" s="1"/>
  <c r="X23" i="17"/>
  <c r="W23" i="17"/>
  <c r="V23" i="17"/>
  <c r="AB23" i="17" s="1"/>
  <c r="X22" i="17"/>
  <c r="W22" i="17"/>
  <c r="V22" i="17"/>
  <c r="AB22" i="17" s="1"/>
  <c r="X21" i="17"/>
  <c r="W21" i="17"/>
  <c r="V21" i="17"/>
  <c r="AB21" i="17" s="1"/>
  <c r="X20" i="17"/>
  <c r="W20" i="17"/>
  <c r="AC20" i="17" s="1"/>
  <c r="V20" i="17"/>
  <c r="AB20" i="17" s="1"/>
  <c r="X19" i="17"/>
  <c r="W19" i="17"/>
  <c r="V19" i="17"/>
  <c r="AB19" i="17" s="1"/>
  <c r="X18" i="17"/>
  <c r="W18" i="17"/>
  <c r="V18" i="17"/>
  <c r="AB18" i="17" s="1"/>
  <c r="X17" i="17"/>
  <c r="W17" i="17"/>
  <c r="AC17" i="17" s="1"/>
  <c r="V17" i="17"/>
  <c r="AB17" i="17" s="1"/>
  <c r="X16" i="17"/>
  <c r="W16" i="17"/>
  <c r="AC16" i="17" s="1"/>
  <c r="V16" i="17"/>
  <c r="AB16" i="17" s="1"/>
  <c r="X15" i="17"/>
  <c r="W15" i="17"/>
  <c r="V15" i="17"/>
  <c r="AB15" i="17" s="1"/>
  <c r="X14" i="17"/>
  <c r="W14" i="17"/>
  <c r="V14" i="17"/>
  <c r="AB14" i="17" s="1"/>
  <c r="X13" i="17"/>
  <c r="W13" i="17"/>
  <c r="V13" i="17"/>
  <c r="AB13" i="17" s="1"/>
  <c r="X12" i="17"/>
  <c r="W12" i="17"/>
  <c r="AC12" i="17" s="1"/>
  <c r="V12" i="17"/>
  <c r="AB12" i="17" s="1"/>
  <c r="X11" i="17"/>
  <c r="W11" i="17"/>
  <c r="V11" i="17"/>
  <c r="AB11" i="17" s="1"/>
  <c r="X10" i="17"/>
  <c r="W10" i="17"/>
  <c r="V10" i="17"/>
  <c r="AB10" i="17" s="1"/>
  <c r="X9" i="17"/>
  <c r="W9" i="17"/>
  <c r="AC9" i="17" s="1"/>
  <c r="V9" i="17"/>
  <c r="AB9" i="17" s="1"/>
  <c r="X8" i="17"/>
  <c r="W8" i="17"/>
  <c r="AC8" i="17" s="1"/>
  <c r="V8" i="17"/>
  <c r="AB8" i="17" s="1"/>
  <c r="X7" i="17"/>
  <c r="W7" i="17"/>
  <c r="V7" i="17"/>
  <c r="AB7" i="17" s="1"/>
  <c r="X6" i="17"/>
  <c r="W6" i="17"/>
  <c r="V6" i="17"/>
  <c r="AB6" i="17" s="1"/>
  <c r="X5" i="17"/>
  <c r="W5" i="17"/>
  <c r="V5" i="17"/>
  <c r="AB5" i="17" s="1"/>
  <c r="X4" i="17"/>
  <c r="W4" i="17"/>
  <c r="AC4" i="17" s="1"/>
  <c r="V4" i="17"/>
  <c r="AB4" i="17" s="1"/>
  <c r="X3" i="17"/>
  <c r="W3" i="17"/>
  <c r="V3" i="17"/>
  <c r="AB3" i="17" s="1"/>
  <c r="X2" i="17"/>
  <c r="W2" i="17"/>
  <c r="V2" i="17"/>
  <c r="AB2" i="17" s="1"/>
  <c r="AE241" i="16"/>
  <c r="AE240" i="16"/>
  <c r="AE239" i="16"/>
  <c r="AE238" i="16"/>
  <c r="AE237" i="16"/>
  <c r="AE236" i="16"/>
  <c r="AE235" i="16"/>
  <c r="AE234" i="16"/>
  <c r="AE233" i="16"/>
  <c r="AE232" i="16"/>
  <c r="AE231" i="16"/>
  <c r="AE230" i="16"/>
  <c r="AA12" i="21" s="1"/>
  <c r="AE229" i="16"/>
  <c r="AD229" i="16"/>
  <c r="AC229" i="16"/>
  <c r="AE228" i="16"/>
  <c r="AD228" i="16"/>
  <c r="AC228" i="16"/>
  <c r="AE227" i="16"/>
  <c r="AD227" i="16"/>
  <c r="AC227" i="16"/>
  <c r="AE226" i="16"/>
  <c r="AD226" i="16"/>
  <c r="AC226" i="16"/>
  <c r="AE225" i="16"/>
  <c r="AD225" i="16"/>
  <c r="AC225" i="16"/>
  <c r="AE224" i="16"/>
  <c r="AD224" i="16"/>
  <c r="AC224" i="16"/>
  <c r="AE223" i="16"/>
  <c r="AD223" i="16"/>
  <c r="AC223" i="16"/>
  <c r="AE222" i="16"/>
  <c r="AD222" i="16"/>
  <c r="AC222" i="16"/>
  <c r="AE221" i="16"/>
  <c r="AD221" i="16"/>
  <c r="AC221" i="16"/>
  <c r="AE220" i="16"/>
  <c r="AD220" i="16"/>
  <c r="AC220" i="16"/>
  <c r="AE219" i="16"/>
  <c r="AD219" i="16"/>
  <c r="AC219" i="16"/>
  <c r="AE218" i="16"/>
  <c r="AD218" i="16"/>
  <c r="AC218" i="16"/>
  <c r="AE217" i="16"/>
  <c r="AE216" i="16"/>
  <c r="AE215" i="16"/>
  <c r="AE214" i="16"/>
  <c r="AE213" i="16"/>
  <c r="AE212" i="16"/>
  <c r="AE211" i="16"/>
  <c r="AE210" i="16"/>
  <c r="AE209" i="16"/>
  <c r="AE208" i="16"/>
  <c r="AE207" i="16"/>
  <c r="AE206" i="16"/>
  <c r="AE205" i="16"/>
  <c r="AE204" i="16"/>
  <c r="AE203" i="16"/>
  <c r="AE202" i="16"/>
  <c r="AE201" i="16"/>
  <c r="AE200" i="16"/>
  <c r="AE199" i="16"/>
  <c r="AE198" i="16"/>
  <c r="AE197" i="16"/>
  <c r="AE196" i="16"/>
  <c r="AE195" i="16"/>
  <c r="AE194" i="16"/>
  <c r="AA11" i="21" s="1"/>
  <c r="AE193" i="16"/>
  <c r="AE192" i="16"/>
  <c r="AE191" i="16"/>
  <c r="AE190" i="16"/>
  <c r="AE189" i="16"/>
  <c r="AE188" i="16"/>
  <c r="AE187" i="16"/>
  <c r="AE186" i="16"/>
  <c r="AE185" i="16"/>
  <c r="AE184" i="16"/>
  <c r="AE183" i="16"/>
  <c r="AE182" i="16"/>
  <c r="AE181" i="16"/>
  <c r="AE180" i="16"/>
  <c r="AE179" i="16"/>
  <c r="AE178" i="16"/>
  <c r="AE177" i="16"/>
  <c r="AA10" i="21" s="1"/>
  <c r="AE176" i="16"/>
  <c r="AE175" i="16"/>
  <c r="AE174" i="16"/>
  <c r="AE173" i="16"/>
  <c r="AE172" i="16"/>
  <c r="AE171" i="16"/>
  <c r="AE170" i="16"/>
  <c r="AE169" i="16"/>
  <c r="AE168" i="16"/>
  <c r="AE167" i="16"/>
  <c r="AE166" i="16"/>
  <c r="AE165" i="16"/>
  <c r="AE164" i="16"/>
  <c r="AE163" i="16"/>
  <c r="AE162" i="16"/>
  <c r="AE161" i="16"/>
  <c r="AE160" i="16"/>
  <c r="AE159" i="16"/>
  <c r="AE158" i="16"/>
  <c r="AE157" i="16"/>
  <c r="AE156" i="16"/>
  <c r="AE155" i="16"/>
  <c r="AE154" i="16"/>
  <c r="AE153" i="16"/>
  <c r="AE152" i="16"/>
  <c r="AE151" i="16"/>
  <c r="AE150" i="16"/>
  <c r="AE149" i="16"/>
  <c r="AE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E119" i="16"/>
  <c r="AE118" i="16"/>
  <c r="AE117" i="16"/>
  <c r="AE116" i="16"/>
  <c r="AE115" i="16"/>
  <c r="AE114" i="16"/>
  <c r="AE113" i="16"/>
  <c r="AE112" i="16"/>
  <c r="AE111" i="16"/>
  <c r="AE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A9" i="21" s="1"/>
  <c r="AE64" i="16"/>
  <c r="AE63" i="16"/>
  <c r="AE62" i="16"/>
  <c r="AE61" i="16"/>
  <c r="AE60" i="16"/>
  <c r="AE59" i="16"/>
  <c r="AE58" i="16"/>
  <c r="AE57" i="16"/>
  <c r="AE56" i="16"/>
  <c r="AG55" i="16"/>
  <c r="AF55" i="16"/>
  <c r="AG54" i="16"/>
  <c r="AF54" i="16"/>
  <c r="AG53" i="16"/>
  <c r="AF53" i="16"/>
  <c r="AG52" i="16"/>
  <c r="AF52" i="16"/>
  <c r="AG51" i="16"/>
  <c r="AF51" i="16"/>
  <c r="AG50" i="16"/>
  <c r="AF50" i="16"/>
  <c r="AG49" i="16"/>
  <c r="AF49" i="16"/>
  <c r="AG48" i="16"/>
  <c r="AF48" i="16"/>
  <c r="AG47" i="16"/>
  <c r="AF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G25" i="16"/>
  <c r="AF25" i="16"/>
  <c r="AG24" i="16"/>
  <c r="AF24" i="16"/>
  <c r="AG23" i="16"/>
  <c r="AF23" i="16"/>
  <c r="AG22" i="16"/>
  <c r="AF22" i="16"/>
  <c r="AG21" i="16"/>
  <c r="AF21" i="16"/>
  <c r="AG20" i="16"/>
  <c r="AF20" i="16"/>
  <c r="AG19" i="16"/>
  <c r="AF19" i="16"/>
  <c r="AG18" i="16"/>
  <c r="AF18" i="16"/>
  <c r="AG17" i="16"/>
  <c r="AF17" i="16"/>
  <c r="AG16" i="16"/>
  <c r="AF16" i="16"/>
  <c r="AG15" i="16"/>
  <c r="AF15" i="16"/>
  <c r="AG14" i="16"/>
  <c r="AF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X241" i="16"/>
  <c r="AD241" i="16" s="1"/>
  <c r="W241" i="16"/>
  <c r="AC241" i="16" s="1"/>
  <c r="V241" i="16"/>
  <c r="AB241" i="16" s="1"/>
  <c r="X240" i="16"/>
  <c r="AD240" i="16" s="1"/>
  <c r="W240" i="16"/>
  <c r="AC240" i="16" s="1"/>
  <c r="V240" i="16"/>
  <c r="AB240" i="16" s="1"/>
  <c r="X239" i="16"/>
  <c r="AD239" i="16" s="1"/>
  <c r="W239" i="16"/>
  <c r="AC239" i="16" s="1"/>
  <c r="V239" i="16"/>
  <c r="AB239" i="16" s="1"/>
  <c r="X238" i="16"/>
  <c r="AD238" i="16" s="1"/>
  <c r="W238" i="16"/>
  <c r="AC238" i="16" s="1"/>
  <c r="V238" i="16"/>
  <c r="AB238" i="16" s="1"/>
  <c r="X237" i="16"/>
  <c r="AD237" i="16" s="1"/>
  <c r="W237" i="16"/>
  <c r="AC237" i="16" s="1"/>
  <c r="V237" i="16"/>
  <c r="AB237" i="16" s="1"/>
  <c r="X236" i="16"/>
  <c r="AD236" i="16" s="1"/>
  <c r="W236" i="16"/>
  <c r="AC236" i="16" s="1"/>
  <c r="V236" i="16"/>
  <c r="AB236" i="16" s="1"/>
  <c r="X235" i="16"/>
  <c r="AD235" i="16" s="1"/>
  <c r="W235" i="16"/>
  <c r="AC235" i="16" s="1"/>
  <c r="V235" i="16"/>
  <c r="AB235" i="16" s="1"/>
  <c r="X234" i="16"/>
  <c r="AD234" i="16" s="1"/>
  <c r="W234" i="16"/>
  <c r="AC234" i="16" s="1"/>
  <c r="V234" i="16"/>
  <c r="AB234" i="16" s="1"/>
  <c r="X233" i="16"/>
  <c r="AD233" i="16" s="1"/>
  <c r="W233" i="16"/>
  <c r="AC233" i="16" s="1"/>
  <c r="V233" i="16"/>
  <c r="AB233" i="16" s="1"/>
  <c r="X232" i="16"/>
  <c r="AD232" i="16" s="1"/>
  <c r="W232" i="16"/>
  <c r="AC232" i="16" s="1"/>
  <c r="V232" i="16"/>
  <c r="AB232" i="16" s="1"/>
  <c r="X231" i="16"/>
  <c r="AD231" i="16" s="1"/>
  <c r="W231" i="16"/>
  <c r="AC231" i="16" s="1"/>
  <c r="V231" i="16"/>
  <c r="AB231" i="16" s="1"/>
  <c r="X230" i="16"/>
  <c r="AD230" i="16" s="1"/>
  <c r="AO6" i="16" s="1"/>
  <c r="W230" i="16"/>
  <c r="AC230" i="16" s="1"/>
  <c r="V230" i="16"/>
  <c r="AB230" i="16" s="1"/>
  <c r="V229" i="16"/>
  <c r="AB229" i="16" s="1"/>
  <c r="V228" i="16"/>
  <c r="AB228" i="16" s="1"/>
  <c r="V227" i="16"/>
  <c r="AB227" i="16" s="1"/>
  <c r="V226" i="16"/>
  <c r="AB226" i="16" s="1"/>
  <c r="V225" i="16"/>
  <c r="AB225" i="16" s="1"/>
  <c r="V224" i="16"/>
  <c r="AB224" i="16" s="1"/>
  <c r="V223" i="16"/>
  <c r="AB223" i="16" s="1"/>
  <c r="V222" i="16"/>
  <c r="AB222" i="16" s="1"/>
  <c r="V221" i="16"/>
  <c r="AB221" i="16" s="1"/>
  <c r="V220" i="16"/>
  <c r="AB220" i="16" s="1"/>
  <c r="V219" i="16"/>
  <c r="AB219" i="16" s="1"/>
  <c r="V218" i="16"/>
  <c r="AB218" i="16" s="1"/>
  <c r="X217" i="16"/>
  <c r="AD217" i="16" s="1"/>
  <c r="W217" i="16"/>
  <c r="AC217" i="16" s="1"/>
  <c r="V217" i="16"/>
  <c r="AB217" i="16" s="1"/>
  <c r="X216" i="16"/>
  <c r="AD216" i="16" s="1"/>
  <c r="W216" i="16"/>
  <c r="AC216" i="16" s="1"/>
  <c r="V216" i="16"/>
  <c r="AB216" i="16" s="1"/>
  <c r="X215" i="16"/>
  <c r="AD215" i="16" s="1"/>
  <c r="W215" i="16"/>
  <c r="AC215" i="16" s="1"/>
  <c r="V215" i="16"/>
  <c r="AB215" i="16" s="1"/>
  <c r="X214" i="16"/>
  <c r="AD214" i="16" s="1"/>
  <c r="W214" i="16"/>
  <c r="AC214" i="16" s="1"/>
  <c r="V214" i="16"/>
  <c r="AB214" i="16" s="1"/>
  <c r="X213" i="16"/>
  <c r="AD213" i="16" s="1"/>
  <c r="W213" i="16"/>
  <c r="AC213" i="16" s="1"/>
  <c r="V213" i="16"/>
  <c r="AB213" i="16" s="1"/>
  <c r="X212" i="16"/>
  <c r="AD212" i="16" s="1"/>
  <c r="W212" i="16"/>
  <c r="AC212" i="16" s="1"/>
  <c r="V212" i="16"/>
  <c r="AB212" i="16" s="1"/>
  <c r="X211" i="16"/>
  <c r="AD211" i="16" s="1"/>
  <c r="W211" i="16"/>
  <c r="AC211" i="16" s="1"/>
  <c r="V211" i="16"/>
  <c r="AB211" i="16" s="1"/>
  <c r="X210" i="16"/>
  <c r="AD210" i="16" s="1"/>
  <c r="W210" i="16"/>
  <c r="AC210" i="16" s="1"/>
  <c r="V210" i="16"/>
  <c r="AB210" i="16" s="1"/>
  <c r="X209" i="16"/>
  <c r="AD209" i="16" s="1"/>
  <c r="W209" i="16"/>
  <c r="AC209" i="16" s="1"/>
  <c r="V209" i="16"/>
  <c r="AB209" i="16" s="1"/>
  <c r="X208" i="16"/>
  <c r="AD208" i="16" s="1"/>
  <c r="W208" i="16"/>
  <c r="AC208" i="16" s="1"/>
  <c r="V208" i="16"/>
  <c r="AB208" i="16" s="1"/>
  <c r="X207" i="16"/>
  <c r="AD207" i="16" s="1"/>
  <c r="W207" i="16"/>
  <c r="AC207" i="16" s="1"/>
  <c r="V207" i="16"/>
  <c r="AB207" i="16" s="1"/>
  <c r="X206" i="16"/>
  <c r="AD206" i="16" s="1"/>
  <c r="W206" i="16"/>
  <c r="AC206" i="16" s="1"/>
  <c r="V206" i="16"/>
  <c r="AB206" i="16" s="1"/>
  <c r="X205" i="16"/>
  <c r="AD205" i="16" s="1"/>
  <c r="W205" i="16"/>
  <c r="AC205" i="16" s="1"/>
  <c r="V205" i="16"/>
  <c r="AB205" i="16" s="1"/>
  <c r="X204" i="16"/>
  <c r="AD204" i="16" s="1"/>
  <c r="W204" i="16"/>
  <c r="AC204" i="16" s="1"/>
  <c r="V204" i="16"/>
  <c r="AB204" i="16" s="1"/>
  <c r="X203" i="16"/>
  <c r="AD203" i="16" s="1"/>
  <c r="W203" i="16"/>
  <c r="AC203" i="16" s="1"/>
  <c r="V203" i="16"/>
  <c r="AB203" i="16" s="1"/>
  <c r="X202" i="16"/>
  <c r="AD202" i="16" s="1"/>
  <c r="W202" i="16"/>
  <c r="AC202" i="16" s="1"/>
  <c r="V202" i="16"/>
  <c r="AB202" i="16" s="1"/>
  <c r="X201" i="16"/>
  <c r="AD201" i="16" s="1"/>
  <c r="W201" i="16"/>
  <c r="AC201" i="16" s="1"/>
  <c r="V201" i="16"/>
  <c r="AB201" i="16" s="1"/>
  <c r="X200" i="16"/>
  <c r="AD200" i="16" s="1"/>
  <c r="W200" i="16"/>
  <c r="AC200" i="16" s="1"/>
  <c r="V200" i="16"/>
  <c r="AB200" i="16" s="1"/>
  <c r="X199" i="16"/>
  <c r="AD199" i="16" s="1"/>
  <c r="W199" i="16"/>
  <c r="AC199" i="16" s="1"/>
  <c r="V199" i="16"/>
  <c r="AB199" i="16" s="1"/>
  <c r="X198" i="16"/>
  <c r="AD198" i="16" s="1"/>
  <c r="W198" i="16"/>
  <c r="AC198" i="16" s="1"/>
  <c r="V198" i="16"/>
  <c r="AB198" i="16" s="1"/>
  <c r="X197" i="16"/>
  <c r="AD197" i="16" s="1"/>
  <c r="W197" i="16"/>
  <c r="AC197" i="16" s="1"/>
  <c r="V197" i="16"/>
  <c r="AB197" i="16" s="1"/>
  <c r="X196" i="16"/>
  <c r="AD196" i="16" s="1"/>
  <c r="W196" i="16"/>
  <c r="AC196" i="16" s="1"/>
  <c r="V196" i="16"/>
  <c r="AB196" i="16" s="1"/>
  <c r="X195" i="16"/>
  <c r="AD195" i="16" s="1"/>
  <c r="W195" i="16"/>
  <c r="AC195" i="16" s="1"/>
  <c r="V195" i="16"/>
  <c r="AB195" i="16" s="1"/>
  <c r="X194" i="16"/>
  <c r="AD194" i="16" s="1"/>
  <c r="W194" i="16"/>
  <c r="AC194" i="16" s="1"/>
  <c r="V194" i="16"/>
  <c r="AB194" i="16" s="1"/>
  <c r="X193" i="16"/>
  <c r="AD193" i="16" s="1"/>
  <c r="W193" i="16"/>
  <c r="AC193" i="16" s="1"/>
  <c r="V193" i="16"/>
  <c r="AB193" i="16" s="1"/>
  <c r="X192" i="16"/>
  <c r="AD192" i="16" s="1"/>
  <c r="W192" i="16"/>
  <c r="AC192" i="16" s="1"/>
  <c r="V192" i="16"/>
  <c r="AB192" i="16" s="1"/>
  <c r="X191" i="16"/>
  <c r="AD191" i="16" s="1"/>
  <c r="W191" i="16"/>
  <c r="AC191" i="16" s="1"/>
  <c r="V191" i="16"/>
  <c r="AB191" i="16" s="1"/>
  <c r="X190" i="16"/>
  <c r="AD190" i="16" s="1"/>
  <c r="W190" i="16"/>
  <c r="AC190" i="16" s="1"/>
  <c r="V190" i="16"/>
  <c r="AB190" i="16" s="1"/>
  <c r="X189" i="16"/>
  <c r="AD189" i="16" s="1"/>
  <c r="W189" i="16"/>
  <c r="AC189" i="16" s="1"/>
  <c r="V189" i="16"/>
  <c r="AB189" i="16" s="1"/>
  <c r="X188" i="16"/>
  <c r="AD188" i="16" s="1"/>
  <c r="W188" i="16"/>
  <c r="AC188" i="16" s="1"/>
  <c r="V188" i="16"/>
  <c r="AB188" i="16" s="1"/>
  <c r="X187" i="16"/>
  <c r="AD187" i="16" s="1"/>
  <c r="W187" i="16"/>
  <c r="AC187" i="16" s="1"/>
  <c r="V187" i="16"/>
  <c r="AB187" i="16" s="1"/>
  <c r="X186" i="16"/>
  <c r="AD186" i="16" s="1"/>
  <c r="W186" i="16"/>
  <c r="AC186" i="16" s="1"/>
  <c r="V186" i="16"/>
  <c r="AB186" i="16" s="1"/>
  <c r="X185" i="16"/>
  <c r="AD185" i="16" s="1"/>
  <c r="W185" i="16"/>
  <c r="AC185" i="16" s="1"/>
  <c r="V185" i="16"/>
  <c r="AB185" i="16" s="1"/>
  <c r="X184" i="16"/>
  <c r="AD184" i="16" s="1"/>
  <c r="W184" i="16"/>
  <c r="AC184" i="16" s="1"/>
  <c r="V184" i="16"/>
  <c r="AB184" i="16" s="1"/>
  <c r="X183" i="16"/>
  <c r="AD183" i="16" s="1"/>
  <c r="W183" i="16"/>
  <c r="AC183" i="16" s="1"/>
  <c r="V183" i="16"/>
  <c r="AB183" i="16" s="1"/>
  <c r="X182" i="16"/>
  <c r="AD182" i="16" s="1"/>
  <c r="W182" i="16"/>
  <c r="AC182" i="16" s="1"/>
  <c r="V182" i="16"/>
  <c r="AB182" i="16" s="1"/>
  <c r="X181" i="16"/>
  <c r="AD181" i="16" s="1"/>
  <c r="W181" i="16"/>
  <c r="AC181" i="16" s="1"/>
  <c r="V181" i="16"/>
  <c r="AB181" i="16" s="1"/>
  <c r="X180" i="16"/>
  <c r="AD180" i="16" s="1"/>
  <c r="W180" i="16"/>
  <c r="AC180" i="16" s="1"/>
  <c r="V180" i="16"/>
  <c r="AB180" i="16" s="1"/>
  <c r="X179" i="16"/>
  <c r="AD179" i="16" s="1"/>
  <c r="W179" i="16"/>
  <c r="AC179" i="16" s="1"/>
  <c r="V179" i="16"/>
  <c r="AB179" i="16" s="1"/>
  <c r="X178" i="16"/>
  <c r="AD178" i="16" s="1"/>
  <c r="W178" i="16"/>
  <c r="AC178" i="16" s="1"/>
  <c r="V178" i="16"/>
  <c r="AB178" i="16" s="1"/>
  <c r="X177" i="16"/>
  <c r="AD177" i="16" s="1"/>
  <c r="W177" i="16"/>
  <c r="AC177" i="16" s="1"/>
  <c r="V177" i="16"/>
  <c r="AB177" i="16" s="1"/>
  <c r="X176" i="16"/>
  <c r="AD176" i="16" s="1"/>
  <c r="W176" i="16"/>
  <c r="AC176" i="16" s="1"/>
  <c r="V176" i="16"/>
  <c r="AB176" i="16" s="1"/>
  <c r="X175" i="16"/>
  <c r="AD175" i="16" s="1"/>
  <c r="W175" i="16"/>
  <c r="AC175" i="16" s="1"/>
  <c r="V175" i="16"/>
  <c r="AB175" i="16" s="1"/>
  <c r="X174" i="16"/>
  <c r="AD174" i="16" s="1"/>
  <c r="W174" i="16"/>
  <c r="AC174" i="16" s="1"/>
  <c r="V174" i="16"/>
  <c r="AB174" i="16" s="1"/>
  <c r="X173" i="16"/>
  <c r="AD173" i="16" s="1"/>
  <c r="W173" i="16"/>
  <c r="AC173" i="16" s="1"/>
  <c r="V173" i="16"/>
  <c r="AB173" i="16" s="1"/>
  <c r="X172" i="16"/>
  <c r="AD172" i="16" s="1"/>
  <c r="W172" i="16"/>
  <c r="AC172" i="16" s="1"/>
  <c r="V172" i="16"/>
  <c r="AB172" i="16" s="1"/>
  <c r="X171" i="16"/>
  <c r="AD171" i="16" s="1"/>
  <c r="W171" i="16"/>
  <c r="AC171" i="16" s="1"/>
  <c r="V171" i="16"/>
  <c r="AB171" i="16" s="1"/>
  <c r="X170" i="16"/>
  <c r="AD170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X162" i="16"/>
  <c r="AD162" i="16" s="1"/>
  <c r="W162" i="16"/>
  <c r="AC162" i="16" s="1"/>
  <c r="V162" i="16"/>
  <c r="AB162" i="16" s="1"/>
  <c r="X161" i="16"/>
  <c r="AD161" i="16" s="1"/>
  <c r="W161" i="16"/>
  <c r="AC161" i="16" s="1"/>
  <c r="V161" i="16"/>
  <c r="AB161" i="16" s="1"/>
  <c r="X160" i="16"/>
  <c r="AD160" i="16" s="1"/>
  <c r="W160" i="16"/>
  <c r="AC160" i="16" s="1"/>
  <c r="V160" i="16"/>
  <c r="AB160" i="16" s="1"/>
  <c r="X159" i="16"/>
  <c r="AD159" i="16" s="1"/>
  <c r="W159" i="16"/>
  <c r="AC159" i="16" s="1"/>
  <c r="V159" i="16"/>
  <c r="AB159" i="16" s="1"/>
  <c r="X158" i="16"/>
  <c r="AD158" i="16" s="1"/>
  <c r="W158" i="16"/>
  <c r="AC158" i="16" s="1"/>
  <c r="V158" i="16"/>
  <c r="AB158" i="16" s="1"/>
  <c r="X157" i="16"/>
  <c r="AD157" i="16" s="1"/>
  <c r="W157" i="16"/>
  <c r="AC157" i="16" s="1"/>
  <c r="V157" i="16"/>
  <c r="AB157" i="16" s="1"/>
  <c r="X156" i="16"/>
  <c r="AD156" i="16" s="1"/>
  <c r="W156" i="16"/>
  <c r="AC156" i="16" s="1"/>
  <c r="V156" i="16"/>
  <c r="AB156" i="16" s="1"/>
  <c r="X155" i="16"/>
  <c r="AD155" i="16" s="1"/>
  <c r="W155" i="16"/>
  <c r="AC155" i="16" s="1"/>
  <c r="V155" i="16"/>
  <c r="AB155" i="16" s="1"/>
  <c r="X154" i="16"/>
  <c r="AD154" i="16" s="1"/>
  <c r="W154" i="16"/>
  <c r="AC154" i="16" s="1"/>
  <c r="V154" i="16"/>
  <c r="AB154" i="16" s="1"/>
  <c r="X153" i="16"/>
  <c r="AD153" i="16" s="1"/>
  <c r="W153" i="16"/>
  <c r="AC153" i="16" s="1"/>
  <c r="V153" i="16"/>
  <c r="AB153" i="16" s="1"/>
  <c r="X152" i="16"/>
  <c r="AD152" i="16" s="1"/>
  <c r="W152" i="16"/>
  <c r="AC152" i="16" s="1"/>
  <c r="V152" i="16"/>
  <c r="AB152" i="16" s="1"/>
  <c r="X151" i="16"/>
  <c r="AD151" i="16" s="1"/>
  <c r="W151" i="16"/>
  <c r="AC151" i="16" s="1"/>
  <c r="V151" i="16"/>
  <c r="AB151" i="16" s="1"/>
  <c r="X150" i="16"/>
  <c r="AD150" i="16" s="1"/>
  <c r="W150" i="16"/>
  <c r="AC150" i="16" s="1"/>
  <c r="V150" i="16"/>
  <c r="AB150" i="16" s="1"/>
  <c r="X149" i="16"/>
  <c r="AD149" i="16" s="1"/>
  <c r="W149" i="16"/>
  <c r="AC149" i="16" s="1"/>
  <c r="V149" i="16"/>
  <c r="AB149" i="16" s="1"/>
  <c r="X148" i="16"/>
  <c r="AD148" i="16" s="1"/>
  <c r="W148" i="16"/>
  <c r="AC148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AC136" i="16" s="1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AC120" i="16" s="1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AC104" i="16" s="1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AC88" i="16" s="1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AC72" i="16" s="1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AC56" i="16" s="1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AB47" i="16" s="1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AB25" i="16" s="1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AD3" i="16" s="1"/>
  <c r="W3" i="16"/>
  <c r="AC3" i="16" s="1"/>
  <c r="V3" i="16"/>
  <c r="AB3" i="16" s="1"/>
  <c r="X2" i="16"/>
  <c r="AD2" i="16" s="1"/>
  <c r="AO2" i="16" s="1"/>
  <c r="AO7" i="16" s="1"/>
  <c r="W2" i="16"/>
  <c r="AC2" i="16" s="1"/>
  <c r="V2" i="16"/>
  <c r="AB2" i="16" s="1"/>
  <c r="AD51" i="6"/>
  <c r="AB51" i="6"/>
  <c r="AA51" i="6"/>
  <c r="AA51" i="7" s="1"/>
  <c r="Z51" i="6"/>
  <c r="X51" i="6"/>
  <c r="W51" i="6"/>
  <c r="V51" i="6"/>
  <c r="U51" i="6"/>
  <c r="AD50" i="6"/>
  <c r="AB50" i="6"/>
  <c r="AA50" i="6"/>
  <c r="Z50" i="6"/>
  <c r="Z50" i="7" s="1"/>
  <c r="X50" i="6"/>
  <c r="W50" i="6"/>
  <c r="V50" i="6"/>
  <c r="U50" i="6"/>
  <c r="AD49" i="6"/>
  <c r="AB49" i="6"/>
  <c r="AA49" i="6"/>
  <c r="Z49" i="6"/>
  <c r="X49" i="6"/>
  <c r="W49" i="6"/>
  <c r="V49" i="6"/>
  <c r="U49" i="6"/>
  <c r="AD48" i="6"/>
  <c r="AB48" i="6"/>
  <c r="AA48" i="6"/>
  <c r="Z48" i="6"/>
  <c r="X48" i="6"/>
  <c r="W48" i="6"/>
  <c r="V48" i="6"/>
  <c r="U48" i="6"/>
  <c r="AD47" i="6"/>
  <c r="AB47" i="6"/>
  <c r="AA47" i="6"/>
  <c r="AA47" i="7" s="1"/>
  <c r="Z47" i="6"/>
  <c r="X47" i="6"/>
  <c r="W47" i="6"/>
  <c r="V47" i="6"/>
  <c r="U47" i="6"/>
  <c r="AD46" i="6"/>
  <c r="AB46" i="6"/>
  <c r="AA46" i="6"/>
  <c r="Z46" i="6"/>
  <c r="Z46" i="7" s="1"/>
  <c r="X46" i="6"/>
  <c r="W46" i="6"/>
  <c r="V46" i="6"/>
  <c r="U46" i="6"/>
  <c r="AD45" i="6"/>
  <c r="AB45" i="6"/>
  <c r="AA45" i="6"/>
  <c r="Z45" i="6"/>
  <c r="X45" i="6"/>
  <c r="W45" i="6"/>
  <c r="V45" i="6"/>
  <c r="U45" i="6"/>
  <c r="AD44" i="6"/>
  <c r="AB44" i="6"/>
  <c r="AA44" i="6"/>
  <c r="Z44" i="6"/>
  <c r="Y44" i="6"/>
  <c r="X44" i="6"/>
  <c r="W44" i="6"/>
  <c r="V44" i="6"/>
  <c r="U44" i="6"/>
  <c r="AD43" i="6"/>
  <c r="AB43" i="6"/>
  <c r="AA43" i="6"/>
  <c r="AA43" i="7" s="1"/>
  <c r="Z43" i="6"/>
  <c r="X43" i="6"/>
  <c r="W43" i="6"/>
  <c r="V43" i="6"/>
  <c r="U43" i="6"/>
  <c r="AD42" i="6"/>
  <c r="AB42" i="6"/>
  <c r="AA42" i="6"/>
  <c r="Z42" i="6"/>
  <c r="Z42" i="7" s="1"/>
  <c r="X42" i="6"/>
  <c r="W42" i="6"/>
  <c r="V42" i="6"/>
  <c r="U42" i="6"/>
  <c r="AD41" i="6"/>
  <c r="AB41" i="6"/>
  <c r="AA41" i="6"/>
  <c r="Z41" i="6"/>
  <c r="X41" i="6"/>
  <c r="W41" i="6"/>
  <c r="V41" i="6"/>
  <c r="U41" i="6"/>
  <c r="AD40" i="6"/>
  <c r="AB40" i="6"/>
  <c r="AA40" i="6"/>
  <c r="Z40" i="6"/>
  <c r="X40" i="6"/>
  <c r="W40" i="6"/>
  <c r="V40" i="6"/>
  <c r="U40" i="6"/>
  <c r="AD39" i="6"/>
  <c r="AB39" i="6"/>
  <c r="AA39" i="6"/>
  <c r="AA39" i="7" s="1"/>
  <c r="Z39" i="6"/>
  <c r="X39" i="6"/>
  <c r="W39" i="6"/>
  <c r="V39" i="6"/>
  <c r="U39" i="6"/>
  <c r="AD38" i="6"/>
  <c r="AB38" i="6"/>
  <c r="AA38" i="6"/>
  <c r="Z38" i="6"/>
  <c r="Z38" i="7" s="1"/>
  <c r="X38" i="6"/>
  <c r="W38" i="6"/>
  <c r="V38" i="6"/>
  <c r="U38" i="6"/>
  <c r="AD37" i="6"/>
  <c r="AB37" i="6"/>
  <c r="AA37" i="6"/>
  <c r="Z37" i="6"/>
  <c r="X37" i="6"/>
  <c r="W37" i="6"/>
  <c r="V37" i="6"/>
  <c r="U37" i="6"/>
  <c r="AD36" i="6"/>
  <c r="AB36" i="6"/>
  <c r="AA36" i="6"/>
  <c r="Z36" i="6"/>
  <c r="Y36" i="6"/>
  <c r="X36" i="6"/>
  <c r="W36" i="6"/>
  <c r="V36" i="6"/>
  <c r="U36" i="6"/>
  <c r="AD35" i="6"/>
  <c r="AB35" i="6"/>
  <c r="AA35" i="6"/>
  <c r="AA35" i="7" s="1"/>
  <c r="Z35" i="6"/>
  <c r="X35" i="6"/>
  <c r="W35" i="6"/>
  <c r="V35" i="6"/>
  <c r="U35" i="6"/>
  <c r="AD34" i="6"/>
  <c r="AB34" i="6"/>
  <c r="AA34" i="6"/>
  <c r="Z34" i="6"/>
  <c r="Z34" i="7" s="1"/>
  <c r="X34" i="6"/>
  <c r="W34" i="6"/>
  <c r="V34" i="6"/>
  <c r="U34" i="6"/>
  <c r="AD33" i="6"/>
  <c r="AB33" i="6"/>
  <c r="AA33" i="6"/>
  <c r="Z33" i="6"/>
  <c r="X33" i="6"/>
  <c r="W33" i="6"/>
  <c r="V33" i="6"/>
  <c r="U33" i="6"/>
  <c r="AD32" i="6"/>
  <c r="AB32" i="6"/>
  <c r="AA32" i="6"/>
  <c r="Z32" i="6"/>
  <c r="X32" i="6"/>
  <c r="W32" i="6"/>
  <c r="V32" i="6"/>
  <c r="U32" i="6"/>
  <c r="AD31" i="6"/>
  <c r="AB31" i="6"/>
  <c r="AA31" i="6"/>
  <c r="AA31" i="7" s="1"/>
  <c r="Z31" i="6"/>
  <c r="X31" i="6"/>
  <c r="W31" i="6"/>
  <c r="V31" i="6"/>
  <c r="U31" i="6"/>
  <c r="AD30" i="6"/>
  <c r="AB30" i="6"/>
  <c r="AA30" i="6"/>
  <c r="Z30" i="6"/>
  <c r="Z30" i="7" s="1"/>
  <c r="X30" i="6"/>
  <c r="W30" i="6"/>
  <c r="V30" i="6"/>
  <c r="U30" i="6"/>
  <c r="AD29" i="6"/>
  <c r="AB29" i="6"/>
  <c r="AA29" i="6"/>
  <c r="Z29" i="6"/>
  <c r="X29" i="6"/>
  <c r="W29" i="6"/>
  <c r="V29" i="6"/>
  <c r="U29" i="6"/>
  <c r="AD28" i="6"/>
  <c r="AB28" i="6"/>
  <c r="AA28" i="6"/>
  <c r="Z28" i="6"/>
  <c r="Y28" i="6"/>
  <c r="X28" i="6"/>
  <c r="W28" i="6"/>
  <c r="V28" i="6"/>
  <c r="U28" i="6"/>
  <c r="AD27" i="6"/>
  <c r="AB27" i="6"/>
  <c r="AA27" i="6"/>
  <c r="AA27" i="7" s="1"/>
  <c r="Z27" i="6"/>
  <c r="X27" i="6"/>
  <c r="W27" i="6"/>
  <c r="V27" i="6"/>
  <c r="U27" i="6"/>
  <c r="AD26" i="6"/>
  <c r="AB26" i="6"/>
  <c r="AA26" i="6"/>
  <c r="Z26" i="6"/>
  <c r="Z26" i="7" s="1"/>
  <c r="X26" i="6"/>
  <c r="W26" i="6"/>
  <c r="V26" i="6"/>
  <c r="U26" i="6"/>
  <c r="AD25" i="6"/>
  <c r="AC25" i="6"/>
  <c r="AB25" i="6"/>
  <c r="AA25" i="6"/>
  <c r="Z25" i="6"/>
  <c r="Y25" i="6"/>
  <c r="X25" i="6"/>
  <c r="W25" i="6"/>
  <c r="V25" i="6"/>
  <c r="U25" i="6"/>
  <c r="AD24" i="6"/>
  <c r="AB24" i="6"/>
  <c r="AA24" i="6"/>
  <c r="Z24" i="6"/>
  <c r="X24" i="6"/>
  <c r="W24" i="6"/>
  <c r="V24" i="6"/>
  <c r="U24" i="6"/>
  <c r="AD23" i="6"/>
  <c r="AB23" i="6"/>
  <c r="AA23" i="6"/>
  <c r="AA23" i="7" s="1"/>
  <c r="Z23" i="6"/>
  <c r="X23" i="6"/>
  <c r="W23" i="6"/>
  <c r="V23" i="6"/>
  <c r="U23" i="6"/>
  <c r="AD22" i="6"/>
  <c r="AB22" i="6"/>
  <c r="AA22" i="6"/>
  <c r="Z22" i="6"/>
  <c r="Z22" i="7" s="1"/>
  <c r="X22" i="6"/>
  <c r="W22" i="6"/>
  <c r="V22" i="6"/>
  <c r="U22" i="6"/>
  <c r="AD21" i="6"/>
  <c r="AB21" i="6"/>
  <c r="AA21" i="6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AA19" i="7" s="1"/>
  <c r="Z19" i="6"/>
  <c r="Y19" i="6"/>
  <c r="X19" i="6"/>
  <c r="W19" i="6"/>
  <c r="V19" i="6"/>
  <c r="U19" i="6"/>
  <c r="AD18" i="6"/>
  <c r="AC18" i="6"/>
  <c r="AB18" i="6"/>
  <c r="AA18" i="6"/>
  <c r="Z18" i="6"/>
  <c r="Z18" i="7" s="1"/>
  <c r="Y18" i="6"/>
  <c r="X18" i="6"/>
  <c r="W18" i="6"/>
  <c r="V18" i="6"/>
  <c r="U18" i="6"/>
  <c r="AD17" i="6"/>
  <c r="AC17" i="6"/>
  <c r="AB17" i="6"/>
  <c r="AA17" i="6"/>
  <c r="Z17" i="6"/>
  <c r="Y17" i="6"/>
  <c r="X17" i="6"/>
  <c r="W17" i="6"/>
  <c r="V17" i="6"/>
  <c r="U17" i="6"/>
  <c r="AD16" i="6"/>
  <c r="AC16" i="6"/>
  <c r="AB16" i="6"/>
  <c r="AA16" i="6"/>
  <c r="Z16" i="6"/>
  <c r="Y16" i="6"/>
  <c r="X16" i="6"/>
  <c r="W16" i="6"/>
  <c r="V16" i="6"/>
  <c r="U16" i="6"/>
  <c r="AD15" i="6"/>
  <c r="AC15" i="6"/>
  <c r="AB15" i="6"/>
  <c r="AA15" i="6"/>
  <c r="AA15" i="7" s="1"/>
  <c r="Z15" i="6"/>
  <c r="Y15" i="6"/>
  <c r="X15" i="6"/>
  <c r="W15" i="6"/>
  <c r="V15" i="6"/>
  <c r="U15" i="6"/>
  <c r="AD14" i="6"/>
  <c r="AC14" i="6"/>
  <c r="AB14" i="6"/>
  <c r="AA14" i="6"/>
  <c r="Z14" i="6"/>
  <c r="Z14" i="7" s="1"/>
  <c r="Y14" i="6"/>
  <c r="X14" i="6"/>
  <c r="W14" i="6"/>
  <c r="V14" i="6"/>
  <c r="U14" i="6"/>
  <c r="AD13" i="6"/>
  <c r="AC13" i="6"/>
  <c r="AB13" i="6"/>
  <c r="AA13" i="6"/>
  <c r="Z13" i="6"/>
  <c r="Y13" i="6"/>
  <c r="X13" i="6"/>
  <c r="W13" i="6"/>
  <c r="V13" i="6"/>
  <c r="U13" i="6"/>
  <c r="AD12" i="6"/>
  <c r="AC12" i="6"/>
  <c r="AB12" i="6"/>
  <c r="AA12" i="6"/>
  <c r="Z12" i="6"/>
  <c r="Y12" i="6"/>
  <c r="X12" i="6"/>
  <c r="W12" i="6"/>
  <c r="V12" i="6"/>
  <c r="U12" i="6"/>
  <c r="AD11" i="6"/>
  <c r="AC11" i="6"/>
  <c r="AB11" i="6"/>
  <c r="AA11" i="6"/>
  <c r="AA11" i="7" s="1"/>
  <c r="Z11" i="6"/>
  <c r="Y11" i="6"/>
  <c r="X11" i="6"/>
  <c r="W11" i="6"/>
  <c r="V11" i="6"/>
  <c r="U11" i="6"/>
  <c r="AD10" i="6"/>
  <c r="AC10" i="6"/>
  <c r="AB10" i="6"/>
  <c r="AA10" i="6"/>
  <c r="Z10" i="6"/>
  <c r="Z10" i="7" s="1"/>
  <c r="Y10" i="6"/>
  <c r="X10" i="6"/>
  <c r="W10" i="6"/>
  <c r="V10" i="6"/>
  <c r="U10" i="6"/>
  <c r="AD9" i="6"/>
  <c r="AC9" i="6"/>
  <c r="AB9" i="6"/>
  <c r="AA9" i="6"/>
  <c r="Z9" i="6"/>
  <c r="Y9" i="6"/>
  <c r="X9" i="6"/>
  <c r="W9" i="6"/>
  <c r="V9" i="6"/>
  <c r="U9" i="6"/>
  <c r="AD8" i="6"/>
  <c r="AC8" i="6"/>
  <c r="AB8" i="6"/>
  <c r="AA8" i="6"/>
  <c r="Z8" i="6"/>
  <c r="Y8" i="6"/>
  <c r="X8" i="6"/>
  <c r="W8" i="6"/>
  <c r="V8" i="6"/>
  <c r="U8" i="6"/>
  <c r="AD7" i="6"/>
  <c r="AC7" i="6"/>
  <c r="AB7" i="6"/>
  <c r="AA7" i="6"/>
  <c r="AA7" i="7" s="1"/>
  <c r="Z7" i="6"/>
  <c r="Y7" i="6"/>
  <c r="X7" i="6"/>
  <c r="W7" i="6"/>
  <c r="V7" i="6"/>
  <c r="U7" i="6"/>
  <c r="AD6" i="6"/>
  <c r="AC6" i="6"/>
  <c r="AB6" i="6"/>
  <c r="AA6" i="6"/>
  <c r="Z6" i="6"/>
  <c r="Z6" i="7" s="1"/>
  <c r="Y6" i="6"/>
  <c r="X6" i="6"/>
  <c r="W6" i="6"/>
  <c r="V6" i="6"/>
  <c r="U6" i="6"/>
  <c r="AD5" i="6"/>
  <c r="AC5" i="6"/>
  <c r="AB5" i="6"/>
  <c r="AA5" i="6"/>
  <c r="Z5" i="6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AC48" i="6" s="1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AP43" i="14"/>
  <c r="AC43" i="14"/>
  <c r="AC43" i="6" s="1"/>
  <c r="Y43" i="14"/>
  <c r="Y43" i="6" s="1"/>
  <c r="AP42" i="14"/>
  <c r="AC42" i="14"/>
  <c r="AC42" i="6" s="1"/>
  <c r="Y42" i="14"/>
  <c r="Y42" i="6" s="1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Y38" i="6" s="1"/>
  <c r="AP37" i="14"/>
  <c r="AC37" i="14"/>
  <c r="AC37" i="6" s="1"/>
  <c r="Y37" i="14"/>
  <c r="Y37" i="6" s="1"/>
  <c r="AP36" i="14"/>
  <c r="AC36" i="14"/>
  <c r="AC36" i="6" s="1"/>
  <c r="Y36" i="14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AC32" i="6" s="1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C29" i="14"/>
  <c r="AC29" i="6" s="1"/>
  <c r="Y29" i="14"/>
  <c r="Y29" i="6" s="1"/>
  <c r="AP28" i="14"/>
  <c r="AC28" i="14"/>
  <c r="AC28" i="6" s="1"/>
  <c r="Y28" i="14"/>
  <c r="AP27" i="14"/>
  <c r="AC27" i="14"/>
  <c r="AC27" i="6" s="1"/>
  <c r="Y27" i="14"/>
  <c r="Y27" i="6" s="1"/>
  <c r="AP26" i="14"/>
  <c r="AC26" i="14"/>
  <c r="AC26" i="6" s="1"/>
  <c r="Y26" i="14"/>
  <c r="Y26" i="6" s="1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Y22" i="6" s="1"/>
  <c r="AP21" i="14"/>
  <c r="AC21" i="14"/>
  <c r="AC21" i="6" s="1"/>
  <c r="Y21" i="14"/>
  <c r="Y21" i="6" s="1"/>
  <c r="X47" i="13"/>
  <c r="V47" i="13"/>
  <c r="T47" i="13"/>
  <c r="P47" i="13"/>
  <c r="O47" i="13"/>
  <c r="N47" i="13"/>
  <c r="M47" i="13"/>
  <c r="V46" i="13"/>
  <c r="U46" i="13"/>
  <c r="T46" i="13"/>
  <c r="P46" i="13"/>
  <c r="O46" i="13"/>
  <c r="N46" i="13"/>
  <c r="M46" i="13"/>
  <c r="X45" i="13"/>
  <c r="V45" i="13"/>
  <c r="U45" i="13"/>
  <c r="T45" i="13"/>
  <c r="P45" i="13"/>
  <c r="O45" i="13"/>
  <c r="N45" i="13"/>
  <c r="M45" i="13"/>
  <c r="X47" i="12"/>
  <c r="V47" i="12"/>
  <c r="T47" i="12"/>
  <c r="P47" i="12"/>
  <c r="O47" i="12"/>
  <c r="N47" i="12"/>
  <c r="M47" i="12"/>
  <c r="V46" i="12"/>
  <c r="U46" i="12"/>
  <c r="T46" i="12"/>
  <c r="P46" i="12"/>
  <c r="O46" i="12"/>
  <c r="N46" i="12"/>
  <c r="M46" i="12"/>
  <c r="X45" i="12"/>
  <c r="V45" i="12"/>
  <c r="V49" i="12" s="1"/>
  <c r="U45" i="12"/>
  <c r="U49" i="12" s="1"/>
  <c r="T45" i="12"/>
  <c r="T49" i="12" s="1"/>
  <c r="P45" i="12"/>
  <c r="P49" i="12" s="1"/>
  <c r="O45" i="12"/>
  <c r="O49" i="12" s="1"/>
  <c r="N45" i="12"/>
  <c r="N49" i="12" s="1"/>
  <c r="M45" i="12"/>
  <c r="M49" i="12" s="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X47" i="11"/>
  <c r="V47" i="11"/>
  <c r="T47" i="11"/>
  <c r="P47" i="11"/>
  <c r="O47" i="11"/>
  <c r="N47" i="11"/>
  <c r="M47" i="11"/>
  <c r="V46" i="11"/>
  <c r="U46" i="11"/>
  <c r="T46" i="11"/>
  <c r="P46" i="11"/>
  <c r="O46" i="11"/>
  <c r="N46" i="11"/>
  <c r="M46" i="11"/>
  <c r="X45" i="11"/>
  <c r="V45" i="11"/>
  <c r="V49" i="11" s="1"/>
  <c r="U45" i="11"/>
  <c r="U49" i="11" s="1"/>
  <c r="T45" i="11"/>
  <c r="T49" i="11" s="1"/>
  <c r="P45" i="11"/>
  <c r="P49" i="11" s="1"/>
  <c r="O45" i="11"/>
  <c r="O49" i="11" s="1"/>
  <c r="N45" i="11"/>
  <c r="N49" i="11" s="1"/>
  <c r="M45" i="11"/>
  <c r="M49" i="11" s="1"/>
  <c r="X47" i="10"/>
  <c r="X45" i="10"/>
  <c r="V47" i="10"/>
  <c r="V46" i="10"/>
  <c r="V45" i="10"/>
  <c r="U46" i="10"/>
  <c r="U45" i="10"/>
  <c r="T47" i="10"/>
  <c r="T46" i="10"/>
  <c r="T45" i="10"/>
  <c r="R48" i="10"/>
  <c r="P47" i="10"/>
  <c r="P46" i="10"/>
  <c r="P45" i="10"/>
  <c r="O47" i="10"/>
  <c r="O46" i="10"/>
  <c r="O45" i="10"/>
  <c r="N47" i="10"/>
  <c r="N46" i="10"/>
  <c r="N45" i="10"/>
  <c r="M47" i="10"/>
  <c r="M46" i="10"/>
  <c r="M45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5" i="10"/>
  <c r="Z14" i="10"/>
  <c r="Z13" i="10"/>
  <c r="Z12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5" i="10"/>
  <c r="V14" i="10"/>
  <c r="V13" i="10"/>
  <c r="V12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5" i="10"/>
  <c r="U14" i="10"/>
  <c r="U13" i="10"/>
  <c r="U12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5" i="10"/>
  <c r="T14" i="10"/>
  <c r="T13" i="10"/>
  <c r="T12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5" i="10"/>
  <c r="R14" i="10"/>
  <c r="R13" i="10"/>
  <c r="R12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5" i="10"/>
  <c r="P14" i="10"/>
  <c r="P13" i="10"/>
  <c r="P12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5" i="10"/>
  <c r="O14" i="10"/>
  <c r="O13" i="10"/>
  <c r="O12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5" i="10"/>
  <c r="N14" i="10"/>
  <c r="N13" i="10"/>
  <c r="N12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5" i="10"/>
  <c r="M14" i="10"/>
  <c r="M13" i="10"/>
  <c r="M12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5" i="10"/>
  <c r="L14" i="10"/>
  <c r="L13" i="10"/>
  <c r="L12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L57" i="7"/>
  <c r="AG57" i="7"/>
  <c r="AD57" i="7"/>
  <c r="AB57" i="7"/>
  <c r="T57" i="7"/>
  <c r="AG51" i="7"/>
  <c r="Z51" i="7"/>
  <c r="AG50" i="7"/>
  <c r="AA50" i="7"/>
  <c r="AG49" i="7"/>
  <c r="AA49" i="7"/>
  <c r="Z49" i="7"/>
  <c r="AG48" i="7"/>
  <c r="AA48" i="7"/>
  <c r="Z48" i="7"/>
  <c r="AG47" i="7"/>
  <c r="Z47" i="7"/>
  <c r="AG46" i="7"/>
  <c r="AA46" i="7"/>
  <c r="AG45" i="7"/>
  <c r="AA45" i="7"/>
  <c r="Z45" i="7"/>
  <c r="AG44" i="7"/>
  <c r="AA44" i="7"/>
  <c r="Z44" i="7"/>
  <c r="AG43" i="7"/>
  <c r="Z43" i="7"/>
  <c r="AG42" i="7"/>
  <c r="AA42" i="7"/>
  <c r="AG41" i="7"/>
  <c r="AA41" i="7"/>
  <c r="Z41" i="7"/>
  <c r="AG40" i="7"/>
  <c r="AA40" i="7"/>
  <c r="Z40" i="7"/>
  <c r="AG39" i="7"/>
  <c r="Z39" i="7"/>
  <c r="AG38" i="7"/>
  <c r="AA38" i="7"/>
  <c r="AG37" i="7"/>
  <c r="AA37" i="7"/>
  <c r="Z37" i="7"/>
  <c r="AG36" i="7"/>
  <c r="AA36" i="7"/>
  <c r="Z36" i="7"/>
  <c r="AG35" i="7"/>
  <c r="Z35" i="7"/>
  <c r="AG34" i="7"/>
  <c r="AA34" i="7"/>
  <c r="AG33" i="7"/>
  <c r="AA33" i="7"/>
  <c r="Z33" i="7"/>
  <c r="AG32" i="7"/>
  <c r="AA32" i="7"/>
  <c r="Z32" i="7"/>
  <c r="AG31" i="7"/>
  <c r="Z31" i="7"/>
  <c r="AG30" i="7"/>
  <c r="AA30" i="7"/>
  <c r="AG29" i="7"/>
  <c r="AA29" i="7"/>
  <c r="Z29" i="7"/>
  <c r="AG28" i="7"/>
  <c r="AA28" i="7"/>
  <c r="Z28" i="7"/>
  <c r="AG27" i="7"/>
  <c r="Z27" i="7"/>
  <c r="AG26" i="7"/>
  <c r="AA26" i="7"/>
  <c r="AG25" i="7"/>
  <c r="AA25" i="7"/>
  <c r="Z25" i="7"/>
  <c r="AG24" i="7"/>
  <c r="AA24" i="7"/>
  <c r="Z24" i="7"/>
  <c r="AG23" i="7"/>
  <c r="Z23" i="7"/>
  <c r="AG22" i="7"/>
  <c r="AA22" i="7"/>
  <c r="AG21" i="7"/>
  <c r="AA21" i="7"/>
  <c r="Z21" i="7"/>
  <c r="AG20" i="7"/>
  <c r="AA20" i="7"/>
  <c r="Z20" i="7"/>
  <c r="AG19" i="7"/>
  <c r="Z19" i="7"/>
  <c r="AG18" i="7"/>
  <c r="AA18" i="7"/>
  <c r="AG17" i="7"/>
  <c r="AA17" i="7"/>
  <c r="Z17" i="7"/>
  <c r="AG16" i="7"/>
  <c r="AA16" i="7"/>
  <c r="Z16" i="7"/>
  <c r="AG15" i="7"/>
  <c r="Z15" i="7"/>
  <c r="AG14" i="7"/>
  <c r="AA14" i="7"/>
  <c r="AG13" i="7"/>
  <c r="AA13" i="7"/>
  <c r="Z13" i="7"/>
  <c r="AG12" i="7"/>
  <c r="AA12" i="7"/>
  <c r="Z12" i="7"/>
  <c r="AG11" i="7"/>
  <c r="Z11" i="7"/>
  <c r="AG10" i="7"/>
  <c r="AA10" i="7"/>
  <c r="AG9" i="7"/>
  <c r="AA9" i="7"/>
  <c r="Z9" i="7"/>
  <c r="AG8" i="7"/>
  <c r="AA8" i="7"/>
  <c r="Z8" i="7"/>
  <c r="AG7" i="7"/>
  <c r="Z7" i="7"/>
  <c r="AG6" i="7"/>
  <c r="AA6" i="7"/>
  <c r="AG5" i="7"/>
  <c r="AA5" i="7"/>
  <c r="Z5" i="7"/>
  <c r="AK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Z56" i="6"/>
  <c r="AK58" i="6"/>
  <c r="AK57" i="6"/>
  <c r="AK56" i="6"/>
  <c r="AF58" i="6"/>
  <c r="AF57" i="6"/>
  <c r="AF56" i="6"/>
  <c r="AE58" i="6"/>
  <c r="AE56" i="6"/>
  <c r="AC58" i="6"/>
  <c r="AC57" i="6"/>
  <c r="AC56" i="6"/>
  <c r="AA57" i="6"/>
  <c r="Z57" i="6"/>
  <c r="Y58" i="6"/>
  <c r="Y57" i="6"/>
  <c r="X58" i="6"/>
  <c r="X57" i="6"/>
  <c r="X56" i="6"/>
  <c r="W58" i="6"/>
  <c r="W57" i="6"/>
  <c r="V57" i="6"/>
  <c r="U57" i="6"/>
  <c r="U56" i="6"/>
  <c r="S58" i="6"/>
  <c r="S57" i="6"/>
  <c r="S56" i="6"/>
  <c r="R58" i="6"/>
  <c r="R57" i="6"/>
  <c r="R56" i="6"/>
  <c r="Q58" i="6"/>
  <c r="Q57" i="6"/>
  <c r="Q56" i="6"/>
  <c r="P58" i="6"/>
  <c r="P57" i="6"/>
  <c r="P56" i="6"/>
  <c r="O58" i="6"/>
  <c r="O57" i="6"/>
  <c r="O56" i="6"/>
  <c r="M58" i="6"/>
  <c r="M57" i="6"/>
  <c r="M56" i="6"/>
  <c r="L58" i="6"/>
  <c r="L57" i="6"/>
  <c r="L56" i="6"/>
  <c r="AK16" i="6"/>
  <c r="AK15" i="6"/>
  <c r="AK10" i="6"/>
  <c r="AK9" i="6"/>
  <c r="AK6" i="6"/>
  <c r="AK5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P11" i="5"/>
  <c r="R11" i="5" s="1"/>
  <c r="P10" i="5"/>
  <c r="R10" i="5" s="1"/>
  <c r="P9" i="5"/>
  <c r="R9" i="5" s="1"/>
  <c r="F44" i="5"/>
  <c r="E44" i="5"/>
  <c r="D44" i="5"/>
  <c r="F26" i="5"/>
  <c r="E26" i="5"/>
  <c r="D26" i="5"/>
  <c r="AJ56" i="6" s="1"/>
  <c r="F25" i="5"/>
  <c r="E25" i="5"/>
  <c r="D25" i="5"/>
  <c r="AI56" i="6" s="1"/>
  <c r="F24" i="5"/>
  <c r="AH56" i="7" s="1"/>
  <c r="E24" i="5"/>
  <c r="D24" i="5"/>
  <c r="AH56" i="6" s="1"/>
  <c r="D13" i="5"/>
  <c r="W56" i="6" s="1"/>
  <c r="F39" i="5"/>
  <c r="F17" i="5"/>
  <c r="F16" i="5"/>
  <c r="F12" i="5"/>
  <c r="V56" i="7" s="1"/>
  <c r="F11" i="5"/>
  <c r="U58" i="6" s="1"/>
  <c r="M15" i="5"/>
  <c r="M7" i="5"/>
  <c r="D36" i="5" s="1"/>
  <c r="F45" i="5"/>
  <c r="E45" i="5"/>
  <c r="D45" i="5"/>
  <c r="F43" i="5"/>
  <c r="D43" i="5"/>
  <c r="F41" i="5"/>
  <c r="E41" i="5"/>
  <c r="D41" i="5"/>
  <c r="F23" i="5"/>
  <c r="AG56" i="7" s="1"/>
  <c r="D23" i="5"/>
  <c r="AG56" i="6" s="1"/>
  <c r="F20" i="5"/>
  <c r="E20" i="5"/>
  <c r="AD55" i="7" s="1"/>
  <c r="D20" i="5"/>
  <c r="AD56" i="6" s="1"/>
  <c r="E18" i="5"/>
  <c r="AB57" i="6" s="1"/>
  <c r="T39" i="4"/>
  <c r="S39" i="4"/>
  <c r="R39" i="4"/>
  <c r="Q39" i="4"/>
  <c r="P39" i="4"/>
  <c r="O39" i="4"/>
  <c r="N39" i="4"/>
  <c r="M39" i="4"/>
  <c r="L39" i="4"/>
  <c r="K39" i="4"/>
  <c r="J39" i="4"/>
  <c r="I39" i="4"/>
  <c r="U39" i="4" s="1"/>
  <c r="T38" i="4"/>
  <c r="S38" i="4"/>
  <c r="R38" i="4"/>
  <c r="Q38" i="4"/>
  <c r="P38" i="4"/>
  <c r="O38" i="4"/>
  <c r="N38" i="4"/>
  <c r="M38" i="4"/>
  <c r="L38" i="4"/>
  <c r="K38" i="4"/>
  <c r="J38" i="4"/>
  <c r="I38" i="4"/>
  <c r="U38" i="4" s="1"/>
  <c r="T37" i="4"/>
  <c r="S37" i="4"/>
  <c r="R37" i="4"/>
  <c r="Q37" i="4"/>
  <c r="P37" i="4"/>
  <c r="O37" i="4"/>
  <c r="N37" i="4"/>
  <c r="M37" i="4"/>
  <c r="L37" i="4"/>
  <c r="K37" i="4"/>
  <c r="J37" i="4"/>
  <c r="I37" i="4"/>
  <c r="U37" i="4" s="1"/>
  <c r="T36" i="4"/>
  <c r="S36" i="4"/>
  <c r="R36" i="4"/>
  <c r="Q36" i="4"/>
  <c r="P36" i="4"/>
  <c r="O36" i="4"/>
  <c r="N36" i="4"/>
  <c r="M36" i="4"/>
  <c r="L36" i="4"/>
  <c r="K36" i="4"/>
  <c r="J36" i="4"/>
  <c r="I36" i="4"/>
  <c r="U36" i="4" s="1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U34" i="4" s="1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U30" i="4" s="1"/>
  <c r="T29" i="4"/>
  <c r="S29" i="4"/>
  <c r="R29" i="4"/>
  <c r="Q29" i="4"/>
  <c r="P29" i="4"/>
  <c r="O29" i="4"/>
  <c r="N29" i="4"/>
  <c r="M29" i="4"/>
  <c r="L29" i="4"/>
  <c r="K29" i="4"/>
  <c r="J29" i="4"/>
  <c r="I29" i="4"/>
  <c r="U29" i="4" s="1"/>
  <c r="T28" i="4"/>
  <c r="S28" i="4"/>
  <c r="R28" i="4"/>
  <c r="Q28" i="4"/>
  <c r="P28" i="4"/>
  <c r="O28" i="4"/>
  <c r="N28" i="4"/>
  <c r="M28" i="4"/>
  <c r="L28" i="4"/>
  <c r="K28" i="4"/>
  <c r="J28" i="4"/>
  <c r="I28" i="4"/>
  <c r="U28" i="4" s="1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U26" i="4" s="1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U22" i="4" s="1"/>
  <c r="T21" i="4"/>
  <c r="S21" i="4"/>
  <c r="R21" i="4"/>
  <c r="Q21" i="4"/>
  <c r="P21" i="4"/>
  <c r="O21" i="4"/>
  <c r="N21" i="4"/>
  <c r="M21" i="4"/>
  <c r="L21" i="4"/>
  <c r="K21" i="4"/>
  <c r="J21" i="4"/>
  <c r="I21" i="4"/>
  <c r="U21" i="4" s="1"/>
  <c r="T20" i="4"/>
  <c r="S20" i="4"/>
  <c r="R20" i="4"/>
  <c r="Q20" i="4"/>
  <c r="P20" i="4"/>
  <c r="O20" i="4"/>
  <c r="N20" i="4"/>
  <c r="M20" i="4"/>
  <c r="L20" i="4"/>
  <c r="K20" i="4"/>
  <c r="J20" i="4"/>
  <c r="I20" i="4"/>
  <c r="U20" i="4" s="1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U18" i="4" s="1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U14" i="4" s="1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L12" i="4"/>
  <c r="K12" i="4"/>
  <c r="J12" i="4"/>
  <c r="I12" i="4"/>
  <c r="U12" i="4" s="1"/>
  <c r="T11" i="4"/>
  <c r="S11" i="4"/>
  <c r="R11" i="4"/>
  <c r="Q11" i="4"/>
  <c r="P11" i="4"/>
  <c r="O11" i="4"/>
  <c r="N11" i="4"/>
  <c r="M11" i="4"/>
  <c r="L11" i="4"/>
  <c r="K11" i="4"/>
  <c r="J11" i="4"/>
  <c r="I11" i="4"/>
  <c r="U11" i="4" s="1"/>
  <c r="T10" i="4"/>
  <c r="S10" i="4"/>
  <c r="R10" i="4"/>
  <c r="Q10" i="4"/>
  <c r="P10" i="4"/>
  <c r="O10" i="4"/>
  <c r="N10" i="4"/>
  <c r="M10" i="4"/>
  <c r="L10" i="4"/>
  <c r="K10" i="4"/>
  <c r="J10" i="4"/>
  <c r="I10" i="4"/>
  <c r="U10" i="4" s="1"/>
  <c r="T9" i="4"/>
  <c r="S9" i="4"/>
  <c r="R9" i="4"/>
  <c r="Q9" i="4"/>
  <c r="P9" i="4"/>
  <c r="O9" i="4"/>
  <c r="N9" i="4"/>
  <c r="M9" i="4"/>
  <c r="L9" i="4"/>
  <c r="K9" i="4"/>
  <c r="J9" i="4"/>
  <c r="I9" i="4"/>
  <c r="U9" i="4" s="1"/>
  <c r="T8" i="4"/>
  <c r="S8" i="4"/>
  <c r="R8" i="4"/>
  <c r="Q8" i="4"/>
  <c r="P8" i="4"/>
  <c r="O8" i="4"/>
  <c r="N8" i="4"/>
  <c r="M8" i="4"/>
  <c r="L8" i="4"/>
  <c r="K8" i="4"/>
  <c r="J8" i="4"/>
  <c r="I8" i="4"/>
  <c r="U8" i="4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U6" i="4" s="1"/>
  <c r="T5" i="4"/>
  <c r="S5" i="4"/>
  <c r="R5" i="4"/>
  <c r="Q5" i="4"/>
  <c r="P5" i="4"/>
  <c r="O5" i="4"/>
  <c r="N5" i="4"/>
  <c r="M5" i="4"/>
  <c r="L5" i="4"/>
  <c r="K5" i="4"/>
  <c r="J5" i="4"/>
  <c r="I5" i="4"/>
  <c r="U5" i="4" s="1"/>
  <c r="T4" i="4"/>
  <c r="S4" i="4"/>
  <c r="R4" i="4"/>
  <c r="Q4" i="4"/>
  <c r="P4" i="4"/>
  <c r="O4" i="4"/>
  <c r="N4" i="4"/>
  <c r="M4" i="4"/>
  <c r="L4" i="4"/>
  <c r="K4" i="4"/>
  <c r="J4" i="4"/>
  <c r="I4" i="4"/>
  <c r="U4" i="4" s="1"/>
  <c r="T3" i="4"/>
  <c r="S3" i="4"/>
  <c r="R3" i="4"/>
  <c r="Q3" i="4"/>
  <c r="P3" i="4"/>
  <c r="O3" i="4"/>
  <c r="N3" i="4"/>
  <c r="M3" i="4"/>
  <c r="L3" i="4"/>
  <c r="K3" i="4"/>
  <c r="J3" i="4"/>
  <c r="I3" i="4"/>
  <c r="U3" i="4" s="1"/>
  <c r="T2" i="4"/>
  <c r="S2" i="4"/>
  <c r="R2" i="4"/>
  <c r="Q2" i="4"/>
  <c r="P2" i="4"/>
  <c r="O2" i="4"/>
  <c r="N2" i="4"/>
  <c r="M2" i="4"/>
  <c r="L2" i="4"/>
  <c r="K2" i="4"/>
  <c r="J2" i="4"/>
  <c r="I2" i="4"/>
  <c r="U2" i="4" s="1"/>
  <c r="T48" i="3"/>
  <c r="S48" i="3"/>
  <c r="R48" i="3"/>
  <c r="Q48" i="3"/>
  <c r="P48" i="3"/>
  <c r="O48" i="3"/>
  <c r="N48" i="3"/>
  <c r="M48" i="3"/>
  <c r="L48" i="3"/>
  <c r="K48" i="3"/>
  <c r="J48" i="3"/>
  <c r="I48" i="3"/>
  <c r="U48" i="3" s="1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L43" i="3"/>
  <c r="K43" i="3"/>
  <c r="J43" i="3"/>
  <c r="I43" i="3"/>
  <c r="U43" i="3" s="1"/>
  <c r="T42" i="3"/>
  <c r="S42" i="3"/>
  <c r="R42" i="3"/>
  <c r="Q42" i="3"/>
  <c r="P42" i="3"/>
  <c r="O42" i="3"/>
  <c r="N42" i="3"/>
  <c r="M42" i="3"/>
  <c r="L42" i="3"/>
  <c r="K42" i="3"/>
  <c r="J42" i="3"/>
  <c r="I42" i="3"/>
  <c r="U42" i="3" s="1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U40" i="3" s="1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U38" i="3" s="1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J36" i="3"/>
  <c r="I36" i="3"/>
  <c r="U36" i="3" s="1"/>
  <c r="T35" i="3"/>
  <c r="S35" i="3"/>
  <c r="R35" i="3"/>
  <c r="Q35" i="3"/>
  <c r="P35" i="3"/>
  <c r="O35" i="3"/>
  <c r="N35" i="3"/>
  <c r="M35" i="3"/>
  <c r="L35" i="3"/>
  <c r="K35" i="3"/>
  <c r="J35" i="3"/>
  <c r="I35" i="3"/>
  <c r="U35" i="3" s="1"/>
  <c r="T34" i="3"/>
  <c r="S34" i="3"/>
  <c r="R34" i="3"/>
  <c r="Q34" i="3"/>
  <c r="P34" i="3"/>
  <c r="O34" i="3"/>
  <c r="N34" i="3"/>
  <c r="M34" i="3"/>
  <c r="L34" i="3"/>
  <c r="K34" i="3"/>
  <c r="J34" i="3"/>
  <c r="I34" i="3"/>
  <c r="U34" i="3" s="1"/>
  <c r="T33" i="3"/>
  <c r="S33" i="3"/>
  <c r="R33" i="3"/>
  <c r="Q33" i="3"/>
  <c r="P33" i="3"/>
  <c r="O33" i="3"/>
  <c r="N33" i="3"/>
  <c r="M33" i="3"/>
  <c r="L33" i="3"/>
  <c r="K33" i="3"/>
  <c r="J33" i="3"/>
  <c r="I33" i="3"/>
  <c r="U33" i="3" s="1"/>
  <c r="T32" i="3"/>
  <c r="S32" i="3"/>
  <c r="R32" i="3"/>
  <c r="Q32" i="3"/>
  <c r="P32" i="3"/>
  <c r="O32" i="3"/>
  <c r="N32" i="3"/>
  <c r="M32" i="3"/>
  <c r="L32" i="3"/>
  <c r="K32" i="3"/>
  <c r="J32" i="3"/>
  <c r="I32" i="3"/>
  <c r="U32" i="3" s="1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U30" i="3" s="1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J28" i="3"/>
  <c r="I28" i="3"/>
  <c r="U28" i="3" s="1"/>
  <c r="T27" i="3"/>
  <c r="S27" i="3"/>
  <c r="R27" i="3"/>
  <c r="Q27" i="3"/>
  <c r="P27" i="3"/>
  <c r="O27" i="3"/>
  <c r="N27" i="3"/>
  <c r="M27" i="3"/>
  <c r="L27" i="3"/>
  <c r="K27" i="3"/>
  <c r="J27" i="3"/>
  <c r="I27" i="3"/>
  <c r="U27" i="3" s="1"/>
  <c r="T26" i="3"/>
  <c r="S26" i="3"/>
  <c r="R26" i="3"/>
  <c r="Q26" i="3"/>
  <c r="P26" i="3"/>
  <c r="O26" i="3"/>
  <c r="N26" i="3"/>
  <c r="M26" i="3"/>
  <c r="L26" i="3"/>
  <c r="K26" i="3"/>
  <c r="J26" i="3"/>
  <c r="I26" i="3"/>
  <c r="U26" i="3" s="1"/>
  <c r="T25" i="3"/>
  <c r="S25" i="3"/>
  <c r="R25" i="3"/>
  <c r="Q25" i="3"/>
  <c r="P25" i="3"/>
  <c r="O25" i="3"/>
  <c r="N25" i="3"/>
  <c r="M25" i="3"/>
  <c r="L25" i="3"/>
  <c r="K25" i="3"/>
  <c r="J25" i="3"/>
  <c r="I25" i="3"/>
  <c r="U25" i="3" s="1"/>
  <c r="T24" i="3"/>
  <c r="S24" i="3"/>
  <c r="R24" i="3"/>
  <c r="Q24" i="3"/>
  <c r="P24" i="3"/>
  <c r="O24" i="3"/>
  <c r="N24" i="3"/>
  <c r="M24" i="3"/>
  <c r="L24" i="3"/>
  <c r="K24" i="3"/>
  <c r="J24" i="3"/>
  <c r="I24" i="3"/>
  <c r="U24" i="3" s="1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U22" i="3" s="1"/>
  <c r="T21" i="3"/>
  <c r="S21" i="3"/>
  <c r="R21" i="3"/>
  <c r="Q21" i="3"/>
  <c r="P21" i="3"/>
  <c r="O21" i="3"/>
  <c r="N21" i="3"/>
  <c r="M21" i="3"/>
  <c r="L21" i="3"/>
  <c r="K21" i="3"/>
  <c r="J21" i="3"/>
  <c r="I21" i="3"/>
  <c r="U21" i="3" s="1"/>
  <c r="T20" i="3"/>
  <c r="S20" i="3"/>
  <c r="R20" i="3"/>
  <c r="Q20" i="3"/>
  <c r="P20" i="3"/>
  <c r="O20" i="3"/>
  <c r="N20" i="3"/>
  <c r="M20" i="3"/>
  <c r="L20" i="3"/>
  <c r="K20" i="3"/>
  <c r="J20" i="3"/>
  <c r="I20" i="3"/>
  <c r="U20" i="3" s="1"/>
  <c r="T19" i="3"/>
  <c r="S19" i="3"/>
  <c r="R19" i="3"/>
  <c r="Q19" i="3"/>
  <c r="P19" i="3"/>
  <c r="O19" i="3"/>
  <c r="N19" i="3"/>
  <c r="M19" i="3"/>
  <c r="L19" i="3"/>
  <c r="K19" i="3"/>
  <c r="J19" i="3"/>
  <c r="I19" i="3"/>
  <c r="U19" i="3" s="1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U17" i="3" s="1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U14" i="3" s="1"/>
  <c r="T13" i="3"/>
  <c r="S13" i="3"/>
  <c r="R13" i="3"/>
  <c r="Q13" i="3"/>
  <c r="P13" i="3"/>
  <c r="O13" i="3"/>
  <c r="N13" i="3"/>
  <c r="M13" i="3"/>
  <c r="L13" i="3"/>
  <c r="K13" i="3"/>
  <c r="J13" i="3"/>
  <c r="I13" i="3"/>
  <c r="U13" i="3" s="1"/>
  <c r="T12" i="3"/>
  <c r="S12" i="3"/>
  <c r="R12" i="3"/>
  <c r="Q12" i="3"/>
  <c r="P12" i="3"/>
  <c r="O12" i="3"/>
  <c r="N12" i="3"/>
  <c r="M12" i="3"/>
  <c r="L12" i="3"/>
  <c r="K12" i="3"/>
  <c r="J12" i="3"/>
  <c r="I12" i="3"/>
  <c r="U12" i="3" s="1"/>
  <c r="T11" i="3"/>
  <c r="S11" i="3"/>
  <c r="R11" i="3"/>
  <c r="Q11" i="3"/>
  <c r="P11" i="3"/>
  <c r="O11" i="3"/>
  <c r="N11" i="3"/>
  <c r="M11" i="3"/>
  <c r="L11" i="3"/>
  <c r="K11" i="3"/>
  <c r="J11" i="3"/>
  <c r="I11" i="3"/>
  <c r="U11" i="3" s="1"/>
  <c r="T10" i="3"/>
  <c r="S10" i="3"/>
  <c r="R10" i="3"/>
  <c r="Q10" i="3"/>
  <c r="P10" i="3"/>
  <c r="O10" i="3"/>
  <c r="N10" i="3"/>
  <c r="M10" i="3"/>
  <c r="L10" i="3"/>
  <c r="K10" i="3"/>
  <c r="J10" i="3"/>
  <c r="I10" i="3"/>
  <c r="U10" i="3" s="1"/>
  <c r="T9" i="3"/>
  <c r="S9" i="3"/>
  <c r="R9" i="3"/>
  <c r="Q9" i="3"/>
  <c r="P9" i="3"/>
  <c r="O9" i="3"/>
  <c r="N9" i="3"/>
  <c r="M9" i="3"/>
  <c r="L9" i="3"/>
  <c r="K9" i="3"/>
  <c r="J9" i="3"/>
  <c r="I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U8" i="3" s="1"/>
  <c r="T7" i="3"/>
  <c r="S7" i="3"/>
  <c r="R7" i="3"/>
  <c r="Q7" i="3"/>
  <c r="P7" i="3"/>
  <c r="O7" i="3"/>
  <c r="N7" i="3"/>
  <c r="M7" i="3"/>
  <c r="L7" i="3"/>
  <c r="K7" i="3"/>
  <c r="J7" i="3"/>
  <c r="I7" i="3"/>
  <c r="U7" i="3" s="1"/>
  <c r="T6" i="3"/>
  <c r="S6" i="3"/>
  <c r="R6" i="3"/>
  <c r="Q6" i="3"/>
  <c r="P6" i="3"/>
  <c r="O6" i="3"/>
  <c r="N6" i="3"/>
  <c r="M6" i="3"/>
  <c r="L6" i="3"/>
  <c r="K6" i="3"/>
  <c r="J6" i="3"/>
  <c r="I6" i="3"/>
  <c r="U6" i="3" s="1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I4" i="3"/>
  <c r="U4" i="3" s="1"/>
  <c r="T3" i="3"/>
  <c r="S3" i="3"/>
  <c r="R3" i="3"/>
  <c r="Q3" i="3"/>
  <c r="P3" i="3"/>
  <c r="O3" i="3"/>
  <c r="N3" i="3"/>
  <c r="M3" i="3"/>
  <c r="L3" i="3"/>
  <c r="K3" i="3"/>
  <c r="J3" i="3"/>
  <c r="I3" i="3"/>
  <c r="U3" i="3" s="1"/>
  <c r="T2" i="3"/>
  <c r="S2" i="3"/>
  <c r="R2" i="3"/>
  <c r="Q2" i="3"/>
  <c r="P2" i="3"/>
  <c r="O2" i="3"/>
  <c r="N2" i="3"/>
  <c r="M2" i="3"/>
  <c r="L2" i="3"/>
  <c r="K2" i="3"/>
  <c r="J2" i="3"/>
  <c r="I2" i="3"/>
  <c r="U2" i="3" s="1"/>
  <c r="H1" i="2"/>
  <c r="AJ3" i="21" l="1"/>
  <c r="I7" i="23"/>
  <c r="I7" i="14"/>
  <c r="I7" i="8"/>
  <c r="I7" i="9"/>
  <c r="I7" i="6"/>
  <c r="I7" i="7"/>
  <c r="P13" i="5"/>
  <c r="P16" i="5" s="1"/>
  <c r="I12" i="23"/>
  <c r="I12" i="14"/>
  <c r="I12" i="8"/>
  <c r="I12" i="9"/>
  <c r="I12" i="6"/>
  <c r="I12" i="7"/>
  <c r="I14" i="23"/>
  <c r="BD66" i="23" s="1"/>
  <c r="I14" i="14"/>
  <c r="I14" i="7"/>
  <c r="I14" i="8"/>
  <c r="I14" i="9"/>
  <c r="I14" i="6"/>
  <c r="I17" i="23"/>
  <c r="I17" i="14"/>
  <c r="I17" i="9"/>
  <c r="I17" i="7"/>
  <c r="I17" i="6"/>
  <c r="I17" i="8"/>
  <c r="I20" i="23"/>
  <c r="I20" i="14"/>
  <c r="I20" i="8"/>
  <c r="I20" i="9"/>
  <c r="I20" i="7"/>
  <c r="I20" i="6"/>
  <c r="I24" i="23"/>
  <c r="I24" i="8"/>
  <c r="I24" i="9"/>
  <c r="I24" i="14"/>
  <c r="I24" i="7"/>
  <c r="I24" i="6"/>
  <c r="I28" i="23"/>
  <c r="I28" i="14"/>
  <c r="I28" i="8"/>
  <c r="I28" i="7"/>
  <c r="I28" i="9"/>
  <c r="I28" i="6"/>
  <c r="I32" i="23"/>
  <c r="I32" i="14"/>
  <c r="I32" i="8"/>
  <c r="I32" i="7"/>
  <c r="I32" i="9"/>
  <c r="I32" i="6"/>
  <c r="I36" i="23"/>
  <c r="I36" i="14"/>
  <c r="I36" i="8"/>
  <c r="I36" i="7"/>
  <c r="I36" i="9"/>
  <c r="I36" i="6"/>
  <c r="I40" i="23"/>
  <c r="I40" i="14"/>
  <c r="I40" i="8"/>
  <c r="I40" i="7"/>
  <c r="I40" i="9"/>
  <c r="I40" i="6"/>
  <c r="I42" i="23"/>
  <c r="AX94" i="23" s="1"/>
  <c r="I42" i="14"/>
  <c r="I42" i="7"/>
  <c r="I42" i="6"/>
  <c r="I42" i="8"/>
  <c r="I42" i="9"/>
  <c r="I45" i="23"/>
  <c r="AX97" i="23" s="1"/>
  <c r="I45" i="14"/>
  <c r="I45" i="9"/>
  <c r="I45" i="7"/>
  <c r="I45" i="6"/>
  <c r="I45" i="8"/>
  <c r="I47" i="23"/>
  <c r="I47" i="14"/>
  <c r="I47" i="6"/>
  <c r="I47" i="8"/>
  <c r="I47" i="9"/>
  <c r="I47" i="7"/>
  <c r="I51" i="23"/>
  <c r="I51" i="14"/>
  <c r="I51" i="6"/>
  <c r="I51" i="8"/>
  <c r="I51" i="9"/>
  <c r="I51" i="7"/>
  <c r="I9" i="24"/>
  <c r="I9" i="11"/>
  <c r="I9" i="13"/>
  <c r="I9" i="12"/>
  <c r="I9" i="10"/>
  <c r="I12" i="24"/>
  <c r="I12" i="11"/>
  <c r="I12" i="13"/>
  <c r="I12" i="12"/>
  <c r="I12" i="10"/>
  <c r="I16" i="24"/>
  <c r="I16" i="11"/>
  <c r="I16" i="13"/>
  <c r="I16" i="12"/>
  <c r="I16" i="10"/>
  <c r="I19" i="24"/>
  <c r="I19" i="13"/>
  <c r="I19" i="12"/>
  <c r="I19" i="11"/>
  <c r="I19" i="10"/>
  <c r="I24" i="24"/>
  <c r="I24" i="11"/>
  <c r="I24" i="13"/>
  <c r="I24" i="12"/>
  <c r="I24" i="10"/>
  <c r="I26" i="24"/>
  <c r="I26" i="13"/>
  <c r="I26" i="12"/>
  <c r="I26" i="11"/>
  <c r="I26" i="10"/>
  <c r="I29" i="24"/>
  <c r="I29" i="10"/>
  <c r="I29" i="11"/>
  <c r="I29" i="13"/>
  <c r="I29" i="12"/>
  <c r="I35" i="24"/>
  <c r="I35" i="13"/>
  <c r="I35" i="12"/>
  <c r="I35" i="11"/>
  <c r="I35" i="10"/>
  <c r="I37" i="24"/>
  <c r="AF80" i="24" s="1"/>
  <c r="I37" i="10"/>
  <c r="I37" i="11"/>
  <c r="I37" i="13"/>
  <c r="I37" i="12"/>
  <c r="I40" i="24"/>
  <c r="I40" i="11"/>
  <c r="I40" i="13"/>
  <c r="I40" i="12"/>
  <c r="I40" i="10"/>
  <c r="I9" i="23"/>
  <c r="I9" i="9"/>
  <c r="I9" i="6"/>
  <c r="I9" i="7"/>
  <c r="I9" i="14"/>
  <c r="I9" i="8"/>
  <c r="I11" i="23"/>
  <c r="I11" i="14"/>
  <c r="I11" i="8"/>
  <c r="I11" i="9"/>
  <c r="I11" i="6"/>
  <c r="I11" i="7"/>
  <c r="I13" i="23"/>
  <c r="I13" i="9"/>
  <c r="I13" i="6"/>
  <c r="I13" i="14"/>
  <c r="I13" i="7"/>
  <c r="I13" i="8"/>
  <c r="I15" i="23"/>
  <c r="I15" i="14"/>
  <c r="I15" i="8"/>
  <c r="I15" i="6"/>
  <c r="I15" i="9"/>
  <c r="I15" i="7"/>
  <c r="I18" i="23"/>
  <c r="AQ70" i="23" s="1"/>
  <c r="I18" i="14"/>
  <c r="I18" i="7"/>
  <c r="I18" i="6"/>
  <c r="I18" i="8"/>
  <c r="I18" i="9"/>
  <c r="I22" i="23"/>
  <c r="I22" i="6"/>
  <c r="I22" i="8"/>
  <c r="I22" i="14"/>
  <c r="I22" i="9"/>
  <c r="I22" i="7"/>
  <c r="I26" i="23"/>
  <c r="AL78" i="23" s="1"/>
  <c r="I26" i="14"/>
  <c r="I26" i="7"/>
  <c r="I26" i="6"/>
  <c r="I26" i="8"/>
  <c r="I26" i="9"/>
  <c r="I29" i="23"/>
  <c r="I29" i="14"/>
  <c r="I29" i="9"/>
  <c r="I29" i="7"/>
  <c r="I29" i="6"/>
  <c r="I29" i="8"/>
  <c r="I33" i="23"/>
  <c r="I33" i="14"/>
  <c r="I33" i="9"/>
  <c r="I33" i="7"/>
  <c r="I33" i="6"/>
  <c r="I33" i="8"/>
  <c r="I35" i="23"/>
  <c r="I35" i="14"/>
  <c r="I35" i="6"/>
  <c r="I35" i="8"/>
  <c r="I35" i="9"/>
  <c r="I35" i="7"/>
  <c r="I38" i="23"/>
  <c r="I38" i="14"/>
  <c r="I38" i="7"/>
  <c r="I38" i="6"/>
  <c r="I38" i="8"/>
  <c r="I38" i="9"/>
  <c r="I43" i="23"/>
  <c r="BB95" i="23" s="1"/>
  <c r="I43" i="14"/>
  <c r="I43" i="6"/>
  <c r="I43" i="8"/>
  <c r="I43" i="9"/>
  <c r="I43" i="7"/>
  <c r="I46" i="23"/>
  <c r="I46" i="14"/>
  <c r="I46" i="7"/>
  <c r="I46" i="6"/>
  <c r="I46" i="8"/>
  <c r="I46" i="9"/>
  <c r="I50" i="23"/>
  <c r="I50" i="14"/>
  <c r="I50" i="7"/>
  <c r="I50" i="6"/>
  <c r="I50" i="8"/>
  <c r="I50" i="9"/>
  <c r="I5" i="24"/>
  <c r="I5" i="11"/>
  <c r="I5" i="10"/>
  <c r="P14" i="5"/>
  <c r="I5" i="13"/>
  <c r="I5" i="12"/>
  <c r="I10" i="24"/>
  <c r="I10" i="13"/>
  <c r="I10" i="12"/>
  <c r="I10" i="11"/>
  <c r="I10" i="10"/>
  <c r="I15" i="24"/>
  <c r="I15" i="13"/>
  <c r="I15" i="12"/>
  <c r="I15" i="10"/>
  <c r="I15" i="11"/>
  <c r="I17" i="24"/>
  <c r="I17" i="10"/>
  <c r="I17" i="11"/>
  <c r="I17" i="13"/>
  <c r="I17" i="12"/>
  <c r="I21" i="24"/>
  <c r="I21" i="10"/>
  <c r="I21" i="11"/>
  <c r="I21" i="13"/>
  <c r="I21" i="12"/>
  <c r="I25" i="24"/>
  <c r="I25" i="10"/>
  <c r="I25" i="11"/>
  <c r="I25" i="13"/>
  <c r="I25" i="12"/>
  <c r="I30" i="24"/>
  <c r="I30" i="13"/>
  <c r="I30" i="12"/>
  <c r="I30" i="11"/>
  <c r="I30" i="10"/>
  <c r="I34" i="24"/>
  <c r="I34" i="13"/>
  <c r="I34" i="12"/>
  <c r="I34" i="11"/>
  <c r="I34" i="10"/>
  <c r="I39" i="24"/>
  <c r="AE82" i="24" s="1"/>
  <c r="I39" i="13"/>
  <c r="I39" i="12"/>
  <c r="I39" i="11"/>
  <c r="I39" i="10"/>
  <c r="I6" i="23"/>
  <c r="BD58" i="23" s="1"/>
  <c r="I6" i="14"/>
  <c r="I6" i="7"/>
  <c r="I6" i="8"/>
  <c r="I6" i="9"/>
  <c r="I6" i="6"/>
  <c r="I10" i="23"/>
  <c r="BD62" i="23" s="1"/>
  <c r="I10" i="14"/>
  <c r="I10" i="7"/>
  <c r="I10" i="8"/>
  <c r="I10" i="9"/>
  <c r="I10" i="6"/>
  <c r="I16" i="23"/>
  <c r="I16" i="14"/>
  <c r="I16" i="8"/>
  <c r="I16" i="6"/>
  <c r="I16" i="9"/>
  <c r="I16" i="7"/>
  <c r="I21" i="23"/>
  <c r="I21" i="9"/>
  <c r="I21" i="7"/>
  <c r="I21" i="6"/>
  <c r="I21" i="14"/>
  <c r="I21" i="8"/>
  <c r="I23" i="23"/>
  <c r="I23" i="6"/>
  <c r="I23" i="8"/>
  <c r="I23" i="7"/>
  <c r="I23" i="9"/>
  <c r="I23" i="14"/>
  <c r="I27" i="23"/>
  <c r="I27" i="14"/>
  <c r="I27" i="6"/>
  <c r="I27" i="8"/>
  <c r="I27" i="9"/>
  <c r="I27" i="7"/>
  <c r="I31" i="23"/>
  <c r="AR83" i="23" s="1"/>
  <c r="I31" i="14"/>
  <c r="I31" i="6"/>
  <c r="I31" i="8"/>
  <c r="I31" i="9"/>
  <c r="I31" i="7"/>
  <c r="I34" i="23"/>
  <c r="I34" i="14"/>
  <c r="I34" i="7"/>
  <c r="I34" i="6"/>
  <c r="I34" i="8"/>
  <c r="I34" i="9"/>
  <c r="I39" i="23"/>
  <c r="AZ91" i="23" s="1"/>
  <c r="I39" i="14"/>
  <c r="I39" i="6"/>
  <c r="I39" i="8"/>
  <c r="I39" i="9"/>
  <c r="I39" i="7"/>
  <c r="I41" i="23"/>
  <c r="I41" i="14"/>
  <c r="I41" i="9"/>
  <c r="I41" i="7"/>
  <c r="I41" i="6"/>
  <c r="I41" i="8"/>
  <c r="I44" i="23"/>
  <c r="I44" i="14"/>
  <c r="I44" i="8"/>
  <c r="I44" i="7"/>
  <c r="I44" i="9"/>
  <c r="I44" i="6"/>
  <c r="I49" i="23"/>
  <c r="BD101" i="23" s="1"/>
  <c r="I49" i="14"/>
  <c r="I49" i="9"/>
  <c r="I49" i="7"/>
  <c r="I49" i="6"/>
  <c r="I49" i="8"/>
  <c r="I6" i="24"/>
  <c r="I6" i="13"/>
  <c r="I6" i="12"/>
  <c r="I6" i="11"/>
  <c r="I6" i="10"/>
  <c r="I8" i="24"/>
  <c r="I8" i="11"/>
  <c r="I8" i="13"/>
  <c r="I8" i="12"/>
  <c r="I8" i="10"/>
  <c r="I11" i="24"/>
  <c r="I11" i="13"/>
  <c r="I11" i="12"/>
  <c r="I11" i="10"/>
  <c r="I11" i="11"/>
  <c r="I14" i="24"/>
  <c r="I14" i="13"/>
  <c r="I14" i="12"/>
  <c r="I14" i="11"/>
  <c r="I14" i="10"/>
  <c r="I18" i="24"/>
  <c r="I18" i="13"/>
  <c r="I18" i="12"/>
  <c r="I18" i="11"/>
  <c r="I18" i="10"/>
  <c r="I20" i="24"/>
  <c r="I20" i="11"/>
  <c r="I20" i="13"/>
  <c r="I20" i="12"/>
  <c r="I20" i="10"/>
  <c r="I23" i="24"/>
  <c r="I23" i="13"/>
  <c r="I23" i="12"/>
  <c r="I23" i="11"/>
  <c r="I23" i="10"/>
  <c r="I28" i="24"/>
  <c r="I28" i="11"/>
  <c r="I28" i="13"/>
  <c r="I28" i="12"/>
  <c r="I28" i="10"/>
  <c r="I32" i="24"/>
  <c r="I32" i="11"/>
  <c r="I32" i="13"/>
  <c r="I32" i="12"/>
  <c r="I32" i="10"/>
  <c r="I41" i="24"/>
  <c r="AD84" i="24" s="1"/>
  <c r="I41" i="10"/>
  <c r="I41" i="11"/>
  <c r="I41" i="13"/>
  <c r="I41" i="12"/>
  <c r="I5" i="23"/>
  <c r="I5" i="9"/>
  <c r="I5" i="6"/>
  <c r="P12" i="5"/>
  <c r="I5" i="7"/>
  <c r="I5" i="14"/>
  <c r="I5" i="8"/>
  <c r="I8" i="23"/>
  <c r="I8" i="14"/>
  <c r="I8" i="8"/>
  <c r="I8" i="9"/>
  <c r="I8" i="6"/>
  <c r="I8" i="7"/>
  <c r="I19" i="23"/>
  <c r="AJ71" i="23" s="1"/>
  <c r="I19" i="14"/>
  <c r="I19" i="6"/>
  <c r="I19" i="8"/>
  <c r="I19" i="9"/>
  <c r="I19" i="7"/>
  <c r="I25" i="23"/>
  <c r="I25" i="9"/>
  <c r="I25" i="7"/>
  <c r="I25" i="6"/>
  <c r="I25" i="14"/>
  <c r="I25" i="8"/>
  <c r="I30" i="23"/>
  <c r="I30" i="14"/>
  <c r="I30" i="7"/>
  <c r="I30" i="6"/>
  <c r="I30" i="8"/>
  <c r="I30" i="9"/>
  <c r="I37" i="23"/>
  <c r="BB89" i="23" s="1"/>
  <c r="I37" i="14"/>
  <c r="I37" i="9"/>
  <c r="I37" i="7"/>
  <c r="I37" i="6"/>
  <c r="I37" i="8"/>
  <c r="I48" i="23"/>
  <c r="AJ100" i="23" s="1"/>
  <c r="I48" i="14"/>
  <c r="I48" i="8"/>
  <c r="I48" i="7"/>
  <c r="I48" i="9"/>
  <c r="I48" i="6"/>
  <c r="I7" i="24"/>
  <c r="I7" i="13"/>
  <c r="I7" i="12"/>
  <c r="I7" i="11"/>
  <c r="I7" i="10"/>
  <c r="I13" i="24"/>
  <c r="I13" i="11"/>
  <c r="I13" i="13"/>
  <c r="I13" i="12"/>
  <c r="I13" i="10"/>
  <c r="I22" i="24"/>
  <c r="I22" i="13"/>
  <c r="I22" i="12"/>
  <c r="I22" i="11"/>
  <c r="I22" i="10"/>
  <c r="I27" i="24"/>
  <c r="AB70" i="24" s="1"/>
  <c r="I27" i="13"/>
  <c r="I27" i="12"/>
  <c r="I27" i="11"/>
  <c r="I27" i="10"/>
  <c r="I31" i="24"/>
  <c r="I31" i="13"/>
  <c r="I31" i="12"/>
  <c r="I31" i="10"/>
  <c r="I31" i="11"/>
  <c r="I33" i="24"/>
  <c r="I33" i="10"/>
  <c r="I33" i="11"/>
  <c r="I33" i="13"/>
  <c r="I33" i="12"/>
  <c r="I36" i="24"/>
  <c r="I36" i="11"/>
  <c r="I36" i="13"/>
  <c r="I36" i="12"/>
  <c r="I36" i="10"/>
  <c r="I38" i="24"/>
  <c r="I38" i="13"/>
  <c r="I38" i="12"/>
  <c r="I38" i="11"/>
  <c r="I38" i="10"/>
  <c r="I42" i="24"/>
  <c r="I42" i="13"/>
  <c r="I42" i="12"/>
  <c r="I42" i="11"/>
  <c r="I42" i="10"/>
  <c r="AJ2" i="16"/>
  <c r="AJ7" i="16" s="1"/>
  <c r="AT2" i="16"/>
  <c r="AT7" i="16" s="1"/>
  <c r="D28" i="5"/>
  <c r="AL56" i="6" s="1"/>
  <c r="AM57" i="7"/>
  <c r="AO3" i="16"/>
  <c r="AO4" i="16"/>
  <c r="AT5" i="16"/>
  <c r="AT6" i="16"/>
  <c r="AJ6" i="16"/>
  <c r="AO5" i="16"/>
  <c r="AJ3" i="16"/>
  <c r="AT3" i="16"/>
  <c r="AT4" i="16"/>
  <c r="AJ4" i="16"/>
  <c r="AC2" i="17"/>
  <c r="AI5" i="17"/>
  <c r="AI3" i="21"/>
  <c r="X5" i="21"/>
  <c r="AF5" i="21" s="1"/>
  <c r="Y6" i="21"/>
  <c r="AG6" i="21" s="1"/>
  <c r="AJ6" i="21"/>
  <c r="X8" i="21"/>
  <c r="AF8" i="21" s="1"/>
  <c r="X13" i="21"/>
  <c r="AF13" i="21" s="1"/>
  <c r="AC56" i="17"/>
  <c r="AC60" i="17"/>
  <c r="AC64" i="17"/>
  <c r="AC68" i="17"/>
  <c r="AF4" i="21"/>
  <c r="AJ4" i="21"/>
  <c r="AG5" i="21"/>
  <c r="AI5" i="21"/>
  <c r="AG8" i="21"/>
  <c r="AG13" i="21"/>
  <c r="AC3" i="17"/>
  <c r="AC7" i="17"/>
  <c r="AC11" i="17"/>
  <c r="AC15" i="17"/>
  <c r="AC19" i="17"/>
  <c r="AC23" i="17"/>
  <c r="AC27" i="17"/>
  <c r="AC31" i="17"/>
  <c r="AC35" i="17"/>
  <c r="AC39" i="17"/>
  <c r="AC43" i="17"/>
  <c r="AC47" i="17"/>
  <c r="AC51" i="17"/>
  <c r="Y4" i="21"/>
  <c r="AG4" i="21" s="1"/>
  <c r="X6" i="21"/>
  <c r="AF6" i="21" s="1"/>
  <c r="BA74" i="23"/>
  <c r="AW74" i="23"/>
  <c r="AS74" i="23"/>
  <c r="AO74" i="23"/>
  <c r="AK74" i="23"/>
  <c r="P74" i="23"/>
  <c r="AZ74" i="23"/>
  <c r="AU74" i="23"/>
  <c r="AP74" i="23"/>
  <c r="AJ74" i="23"/>
  <c r="BD74" i="23"/>
  <c r="AY74" i="23"/>
  <c r="AT74" i="23"/>
  <c r="AN74" i="23"/>
  <c r="AI74" i="23"/>
  <c r="R74" i="23"/>
  <c r="BC74" i="23"/>
  <c r="AX74" i="23"/>
  <c r="AR74" i="23"/>
  <c r="AM74" i="23"/>
  <c r="BC86" i="23"/>
  <c r="AY86" i="23"/>
  <c r="AU86" i="23"/>
  <c r="AQ86" i="23"/>
  <c r="AM86" i="23"/>
  <c r="AI86" i="23"/>
  <c r="BD86" i="23"/>
  <c r="AX86" i="23"/>
  <c r="AS86" i="23"/>
  <c r="AN86" i="23"/>
  <c r="BB86" i="23"/>
  <c r="AW86" i="23"/>
  <c r="AR86" i="23"/>
  <c r="AL86" i="23"/>
  <c r="AT86" i="23"/>
  <c r="AJ86" i="23"/>
  <c r="BA86" i="23"/>
  <c r="AP86" i="23"/>
  <c r="AZ86" i="23"/>
  <c r="AO86" i="23"/>
  <c r="BC102" i="23"/>
  <c r="AY102" i="23"/>
  <c r="AU102" i="23"/>
  <c r="AQ102" i="23"/>
  <c r="AM102" i="23"/>
  <c r="AI102" i="23"/>
  <c r="BB102" i="23"/>
  <c r="AX102" i="23"/>
  <c r="AT102" i="23"/>
  <c r="AP102" i="23"/>
  <c r="AL102" i="23"/>
  <c r="BA102" i="23"/>
  <c r="AW102" i="23"/>
  <c r="AS102" i="23"/>
  <c r="AO102" i="23"/>
  <c r="AK102" i="23"/>
  <c r="BD102" i="23"/>
  <c r="AN102" i="23"/>
  <c r="AV102" i="23"/>
  <c r="AZ102" i="23"/>
  <c r="AR102" i="23"/>
  <c r="AJ102" i="23"/>
  <c r="BA63" i="23"/>
  <c r="AW63" i="23"/>
  <c r="AS63" i="23"/>
  <c r="AO63" i="23"/>
  <c r="BA67" i="23"/>
  <c r="AW67" i="23"/>
  <c r="AS67" i="23"/>
  <c r="AO67" i="23"/>
  <c r="AK67" i="23"/>
  <c r="BD67" i="23"/>
  <c r="AY67" i="23"/>
  <c r="AT67" i="23"/>
  <c r="AN67" i="23"/>
  <c r="AI67" i="23"/>
  <c r="BB67" i="23"/>
  <c r="AV67" i="23"/>
  <c r="AQ67" i="23"/>
  <c r="AL67" i="23"/>
  <c r="BA71" i="23"/>
  <c r="AW71" i="23"/>
  <c r="AS71" i="23"/>
  <c r="AO71" i="23"/>
  <c r="AK71" i="23"/>
  <c r="BD71" i="23"/>
  <c r="AY71" i="23"/>
  <c r="AT71" i="23"/>
  <c r="AN71" i="23"/>
  <c r="AI71" i="23"/>
  <c r="BC71" i="23"/>
  <c r="AX71" i="23"/>
  <c r="AR71" i="23"/>
  <c r="AM71" i="23"/>
  <c r="BB71" i="23"/>
  <c r="AV71" i="23"/>
  <c r="AQ71" i="23"/>
  <c r="AL71" i="23"/>
  <c r="BA75" i="23"/>
  <c r="AW75" i="23"/>
  <c r="AS75" i="23"/>
  <c r="AO75" i="23"/>
  <c r="AK75" i="23"/>
  <c r="P75" i="23"/>
  <c r="BD75" i="23"/>
  <c r="AY75" i="23"/>
  <c r="AT75" i="23"/>
  <c r="AN75" i="23"/>
  <c r="AI75" i="23"/>
  <c r="R75" i="23"/>
  <c r="BC75" i="23"/>
  <c r="AX75" i="23"/>
  <c r="AR75" i="23"/>
  <c r="AM75" i="23"/>
  <c r="BB75" i="23"/>
  <c r="AV75" i="23"/>
  <c r="AQ75" i="23"/>
  <c r="AL75" i="23"/>
  <c r="BA79" i="23"/>
  <c r="AW79" i="23"/>
  <c r="AS79" i="23"/>
  <c r="AO79" i="23"/>
  <c r="AK79" i="23"/>
  <c r="P79" i="23"/>
  <c r="BD79" i="23"/>
  <c r="AY79" i="23"/>
  <c r="AT79" i="23"/>
  <c r="AN79" i="23"/>
  <c r="AI79" i="23"/>
  <c r="R79" i="23"/>
  <c r="BC79" i="23"/>
  <c r="AX79" i="23"/>
  <c r="AR79" i="23"/>
  <c r="AM79" i="23"/>
  <c r="BB79" i="23"/>
  <c r="AV79" i="23"/>
  <c r="AQ79" i="23"/>
  <c r="AL79" i="23"/>
  <c r="BB83" i="23"/>
  <c r="AX83" i="23"/>
  <c r="AT83" i="23"/>
  <c r="AP83" i="23"/>
  <c r="AL83" i="23"/>
  <c r="BA83" i="23"/>
  <c r="AW83" i="23"/>
  <c r="AS83" i="23"/>
  <c r="AO83" i="23"/>
  <c r="AK83" i="23"/>
  <c r="AY83" i="23"/>
  <c r="AQ83" i="23"/>
  <c r="AI83" i="23"/>
  <c r="BD83" i="23"/>
  <c r="AV83" i="23"/>
  <c r="AN83" i="23"/>
  <c r="BC83" i="23"/>
  <c r="AU83" i="23"/>
  <c r="AM83" i="23"/>
  <c r="BC87" i="23"/>
  <c r="AY87" i="23"/>
  <c r="AU87" i="23"/>
  <c r="AQ87" i="23"/>
  <c r="AM87" i="23"/>
  <c r="AI87" i="23"/>
  <c r="BB87" i="23"/>
  <c r="AW87" i="23"/>
  <c r="AR87" i="23"/>
  <c r="AL87" i="23"/>
  <c r="BA87" i="23"/>
  <c r="AV87" i="23"/>
  <c r="AP87" i="23"/>
  <c r="AK87" i="23"/>
  <c r="BD87" i="23"/>
  <c r="AS87" i="23"/>
  <c r="AZ87" i="23"/>
  <c r="AO87" i="23"/>
  <c r="AX87" i="23"/>
  <c r="AN87" i="23"/>
  <c r="BC91" i="23"/>
  <c r="AY91" i="23"/>
  <c r="AU91" i="23"/>
  <c r="AQ91" i="23"/>
  <c r="AM91" i="23"/>
  <c r="AI91" i="23"/>
  <c r="BB91" i="23"/>
  <c r="AW91" i="23"/>
  <c r="AR91" i="23"/>
  <c r="AL91" i="23"/>
  <c r="BA91" i="23"/>
  <c r="AV91" i="23"/>
  <c r="AP91" i="23"/>
  <c r="AK91" i="23"/>
  <c r="AX91" i="23"/>
  <c r="AN91" i="23"/>
  <c r="AT91" i="23"/>
  <c r="AJ91" i="23"/>
  <c r="BD91" i="23"/>
  <c r="AS91" i="23"/>
  <c r="BA95" i="23"/>
  <c r="AW95" i="23"/>
  <c r="AS95" i="23"/>
  <c r="AO95" i="23"/>
  <c r="AK95" i="23"/>
  <c r="BC95" i="23"/>
  <c r="AY95" i="23"/>
  <c r="AU95" i="23"/>
  <c r="AQ95" i="23"/>
  <c r="AM95" i="23"/>
  <c r="AI95" i="23"/>
  <c r="AX95" i="23"/>
  <c r="AP95" i="23"/>
  <c r="BD95" i="23"/>
  <c r="AV95" i="23"/>
  <c r="AN95" i="23"/>
  <c r="AZ95" i="23"/>
  <c r="AJ95" i="23"/>
  <c r="AT95" i="23"/>
  <c r="AR95" i="23"/>
  <c r="BC99" i="23"/>
  <c r="AY99" i="23"/>
  <c r="AU99" i="23"/>
  <c r="AQ99" i="23"/>
  <c r="AM99" i="23"/>
  <c r="AI99" i="23"/>
  <c r="BB99" i="23"/>
  <c r="AX99" i="23"/>
  <c r="AT99" i="23"/>
  <c r="AP99" i="23"/>
  <c r="AL99" i="23"/>
  <c r="BA99" i="23"/>
  <c r="AW99" i="23"/>
  <c r="AS99" i="23"/>
  <c r="AO99" i="23"/>
  <c r="AK99" i="23"/>
  <c r="AR99" i="23"/>
  <c r="AZ99" i="23"/>
  <c r="AJ99" i="23"/>
  <c r="BD99" i="23"/>
  <c r="AV99" i="23"/>
  <c r="AN99" i="23"/>
  <c r="BC103" i="23"/>
  <c r="AY103" i="23"/>
  <c r="AU103" i="23"/>
  <c r="AQ103" i="23"/>
  <c r="AM103" i="23"/>
  <c r="AI103" i="23"/>
  <c r="BB103" i="23"/>
  <c r="AX103" i="23"/>
  <c r="AT103" i="23"/>
  <c r="AP103" i="23"/>
  <c r="AL103" i="23"/>
  <c r="BA103" i="23"/>
  <c r="AW103" i="23"/>
  <c r="AS103" i="23"/>
  <c r="AO103" i="23"/>
  <c r="AK103" i="23"/>
  <c r="AR103" i="23"/>
  <c r="AZ103" i="23"/>
  <c r="AJ103" i="23"/>
  <c r="AV103" i="23"/>
  <c r="AN103" i="23"/>
  <c r="BD103" i="23"/>
  <c r="AL57" i="23"/>
  <c r="AP57" i="23"/>
  <c r="AT57" i="23"/>
  <c r="AX57" i="23"/>
  <c r="BB57" i="23"/>
  <c r="AL58" i="23"/>
  <c r="AP58" i="23"/>
  <c r="AT58" i="23"/>
  <c r="AX58" i="23"/>
  <c r="BB58" i="23"/>
  <c r="AL59" i="23"/>
  <c r="AP59" i="23"/>
  <c r="AT59" i="23"/>
  <c r="AX59" i="23"/>
  <c r="BB59" i="23"/>
  <c r="AL60" i="23"/>
  <c r="AP60" i="23"/>
  <c r="AT60" i="23"/>
  <c r="AX60" i="23"/>
  <c r="BB60" i="23"/>
  <c r="AL61" i="23"/>
  <c r="AP61" i="23"/>
  <c r="AT61" i="23"/>
  <c r="AX61" i="23"/>
  <c r="BB61" i="23"/>
  <c r="AL62" i="23"/>
  <c r="AP62" i="23"/>
  <c r="AT62" i="23"/>
  <c r="AX62" i="23"/>
  <c r="BB62" i="23"/>
  <c r="AL63" i="23"/>
  <c r="AQ63" i="23"/>
  <c r="AV63" i="23"/>
  <c r="BB63" i="23"/>
  <c r="AJ64" i="23"/>
  <c r="AP64" i="23"/>
  <c r="AV64" i="23"/>
  <c r="AM65" i="23"/>
  <c r="AU65" i="23"/>
  <c r="BB65" i="23"/>
  <c r="AL66" i="23"/>
  <c r="AT66" i="23"/>
  <c r="BB66" i="23"/>
  <c r="AP67" i="23"/>
  <c r="AZ67" i="23"/>
  <c r="AN68" i="23"/>
  <c r="AM69" i="23"/>
  <c r="AX69" i="23"/>
  <c r="AP71" i="23"/>
  <c r="AM73" i="23"/>
  <c r="AL74" i="23"/>
  <c r="AJ75" i="23"/>
  <c r="AI76" i="23"/>
  <c r="BC77" i="23"/>
  <c r="BB78" i="23"/>
  <c r="AZ79" i="23"/>
  <c r="AX81" i="23"/>
  <c r="AZ83" i="23"/>
  <c r="BA70" i="23"/>
  <c r="AW70" i="23"/>
  <c r="AS70" i="23"/>
  <c r="AO70" i="23"/>
  <c r="AK70" i="23"/>
  <c r="AZ70" i="23"/>
  <c r="AU70" i="23"/>
  <c r="AP70" i="23"/>
  <c r="AJ70" i="23"/>
  <c r="BD70" i="23"/>
  <c r="AY70" i="23"/>
  <c r="AT70" i="23"/>
  <c r="AN70" i="23"/>
  <c r="AI70" i="23"/>
  <c r="BC70" i="23"/>
  <c r="AX70" i="23"/>
  <c r="AR70" i="23"/>
  <c r="AM70" i="23"/>
  <c r="BB82" i="23"/>
  <c r="AX82" i="23"/>
  <c r="AT82" i="23"/>
  <c r="AP82" i="23"/>
  <c r="AL82" i="23"/>
  <c r="BA82" i="23"/>
  <c r="AW82" i="23"/>
  <c r="AS82" i="23"/>
  <c r="AO82" i="23"/>
  <c r="AK82" i="23"/>
  <c r="BC82" i="23"/>
  <c r="AU82" i="23"/>
  <c r="AM82" i="23"/>
  <c r="AZ82" i="23"/>
  <c r="AR82" i="23"/>
  <c r="AJ82" i="23"/>
  <c r="AY82" i="23"/>
  <c r="AQ82" i="23"/>
  <c r="AI82" i="23"/>
  <c r="BA94" i="23"/>
  <c r="AW94" i="23"/>
  <c r="AS94" i="23"/>
  <c r="AO94" i="23"/>
  <c r="AK94" i="23"/>
  <c r="BC94" i="23"/>
  <c r="AY94" i="23"/>
  <c r="AU94" i="23"/>
  <c r="AQ94" i="23"/>
  <c r="AM94" i="23"/>
  <c r="AI94" i="23"/>
  <c r="BB94" i="23"/>
  <c r="AT94" i="23"/>
  <c r="AL94" i="23"/>
  <c r="AZ94" i="23"/>
  <c r="AR94" i="23"/>
  <c r="AJ94" i="23"/>
  <c r="AV94" i="23"/>
  <c r="AP94" i="23"/>
  <c r="BD94" i="23"/>
  <c r="AN94" i="23"/>
  <c r="AO58" i="23"/>
  <c r="AW58" i="23"/>
  <c r="AK62" i="23"/>
  <c r="AO62" i="23"/>
  <c r="AS62" i="23"/>
  <c r="AW62" i="23"/>
  <c r="BA62" i="23"/>
  <c r="AJ66" i="23"/>
  <c r="AQ66" i="23"/>
  <c r="AY66" i="23"/>
  <c r="AL70" i="23"/>
  <c r="BB74" i="23"/>
  <c r="AV78" i="23"/>
  <c r="BD82" i="23"/>
  <c r="BA90" i="23"/>
  <c r="BA64" i="23"/>
  <c r="AW64" i="23"/>
  <c r="AS64" i="23"/>
  <c r="AO64" i="23"/>
  <c r="AK64" i="23"/>
  <c r="AZ64" i="23"/>
  <c r="AU64" i="23"/>
  <c r="BA68" i="23"/>
  <c r="AW68" i="23"/>
  <c r="AS68" i="23"/>
  <c r="AO68" i="23"/>
  <c r="AK68" i="23"/>
  <c r="BC68" i="23"/>
  <c r="AX68" i="23"/>
  <c r="AR68" i="23"/>
  <c r="AM68" i="23"/>
  <c r="AZ68" i="23"/>
  <c r="AU68" i="23"/>
  <c r="AP68" i="23"/>
  <c r="AJ68" i="23"/>
  <c r="BA72" i="23"/>
  <c r="AW72" i="23"/>
  <c r="AS72" i="23"/>
  <c r="AO72" i="23"/>
  <c r="AK72" i="23"/>
  <c r="BC72" i="23"/>
  <c r="AX72" i="23"/>
  <c r="AR72" i="23"/>
  <c r="AM72" i="23"/>
  <c r="BB72" i="23"/>
  <c r="AV72" i="23"/>
  <c r="AQ72" i="23"/>
  <c r="AL72" i="23"/>
  <c r="AZ72" i="23"/>
  <c r="AU72" i="23"/>
  <c r="AP72" i="23"/>
  <c r="AJ72" i="23"/>
  <c r="BA76" i="23"/>
  <c r="AW76" i="23"/>
  <c r="AS76" i="23"/>
  <c r="AO76" i="23"/>
  <c r="AK76" i="23"/>
  <c r="P76" i="23"/>
  <c r="BC76" i="23"/>
  <c r="AX76" i="23"/>
  <c r="AR76" i="23"/>
  <c r="AM76" i="23"/>
  <c r="BB76" i="23"/>
  <c r="AV76" i="23"/>
  <c r="AQ76" i="23"/>
  <c r="AL76" i="23"/>
  <c r="AZ76" i="23"/>
  <c r="AU76" i="23"/>
  <c r="AP76" i="23"/>
  <c r="AJ76" i="23"/>
  <c r="BA80" i="23"/>
  <c r="AW80" i="23"/>
  <c r="AS80" i="23"/>
  <c r="AO80" i="23"/>
  <c r="AK80" i="23"/>
  <c r="P80" i="23"/>
  <c r="BC80" i="23"/>
  <c r="AX80" i="23"/>
  <c r="AR80" i="23"/>
  <c r="AM80" i="23"/>
  <c r="BB80" i="23"/>
  <c r="AV80" i="23"/>
  <c r="AQ80" i="23"/>
  <c r="AL80" i="23"/>
  <c r="AZ80" i="23"/>
  <c r="AU80" i="23"/>
  <c r="AP80" i="23"/>
  <c r="AJ80" i="23"/>
  <c r="BB84" i="23"/>
  <c r="AX84" i="23"/>
  <c r="AT84" i="23"/>
  <c r="AP84" i="23"/>
  <c r="AL84" i="23"/>
  <c r="BA84" i="23"/>
  <c r="AW84" i="23"/>
  <c r="AS84" i="23"/>
  <c r="AO84" i="23"/>
  <c r="AK84" i="23"/>
  <c r="BC84" i="23"/>
  <c r="AU84" i="23"/>
  <c r="AM84" i="23"/>
  <c r="AZ84" i="23"/>
  <c r="AR84" i="23"/>
  <c r="AJ84" i="23"/>
  <c r="AY84" i="23"/>
  <c r="AQ84" i="23"/>
  <c r="AI84" i="23"/>
  <c r="BC88" i="23"/>
  <c r="AY88" i="23"/>
  <c r="AU88" i="23"/>
  <c r="AQ88" i="23"/>
  <c r="AM88" i="23"/>
  <c r="AI88" i="23"/>
  <c r="BA88" i="23"/>
  <c r="AV88" i="23"/>
  <c r="AP88" i="23"/>
  <c r="AK88" i="23"/>
  <c r="AZ88" i="23"/>
  <c r="AT88" i="23"/>
  <c r="AO88" i="23"/>
  <c r="AJ88" i="23"/>
  <c r="BB88" i="23"/>
  <c r="AR88" i="23"/>
  <c r="AX88" i="23"/>
  <c r="AN88" i="23"/>
  <c r="AW88" i="23"/>
  <c r="AL88" i="23"/>
  <c r="BA92" i="23"/>
  <c r="AW92" i="23"/>
  <c r="AS92" i="23"/>
  <c r="AO92" i="23"/>
  <c r="AK92" i="23"/>
  <c r="BC92" i="23"/>
  <c r="AY92" i="23"/>
  <c r="AU92" i="23"/>
  <c r="AQ92" i="23"/>
  <c r="AM92" i="23"/>
  <c r="AI92" i="23"/>
  <c r="BB92" i="23"/>
  <c r="AT92" i="23"/>
  <c r="AL92" i="23"/>
  <c r="AZ92" i="23"/>
  <c r="AR92" i="23"/>
  <c r="AJ92" i="23"/>
  <c r="BD92" i="23"/>
  <c r="AN92" i="23"/>
  <c r="AX92" i="23"/>
  <c r="AV92" i="23"/>
  <c r="BA96" i="23"/>
  <c r="AW96" i="23"/>
  <c r="AS96" i="23"/>
  <c r="AO96" i="23"/>
  <c r="AK96" i="23"/>
  <c r="BC96" i="23"/>
  <c r="AY96" i="23"/>
  <c r="AU96" i="23"/>
  <c r="AQ96" i="23"/>
  <c r="AM96" i="23"/>
  <c r="AI96" i="23"/>
  <c r="BB96" i="23"/>
  <c r="AT96" i="23"/>
  <c r="AL96" i="23"/>
  <c r="AZ96" i="23"/>
  <c r="AR96" i="23"/>
  <c r="AJ96" i="23"/>
  <c r="BD96" i="23"/>
  <c r="AN96" i="23"/>
  <c r="AX96" i="23"/>
  <c r="AV96" i="23"/>
  <c r="BC100" i="23"/>
  <c r="AY100" i="23"/>
  <c r="AU100" i="23"/>
  <c r="AQ100" i="23"/>
  <c r="AM100" i="23"/>
  <c r="AI100" i="23"/>
  <c r="BB100" i="23"/>
  <c r="AX100" i="23"/>
  <c r="AT100" i="23"/>
  <c r="AP100" i="23"/>
  <c r="AL100" i="23"/>
  <c r="BA100" i="23"/>
  <c r="AW100" i="23"/>
  <c r="AS100" i="23"/>
  <c r="AO100" i="23"/>
  <c r="AK100" i="23"/>
  <c r="AV100" i="23"/>
  <c r="BD100" i="23"/>
  <c r="AN100" i="23"/>
  <c r="AZ100" i="23"/>
  <c r="AR100" i="23"/>
  <c r="AI57" i="23"/>
  <c r="AM57" i="23"/>
  <c r="AQ57" i="23"/>
  <c r="AU57" i="23"/>
  <c r="AY57" i="23"/>
  <c r="BC57" i="23"/>
  <c r="AI58" i="23"/>
  <c r="AM58" i="23"/>
  <c r="AQ58" i="23"/>
  <c r="AU58" i="23"/>
  <c r="AY58" i="23"/>
  <c r="BC58" i="23"/>
  <c r="AI59" i="23"/>
  <c r="AM59" i="23"/>
  <c r="AQ59" i="23"/>
  <c r="AU59" i="23"/>
  <c r="AY59" i="23"/>
  <c r="BC59" i="23"/>
  <c r="AI60" i="23"/>
  <c r="AM60" i="23"/>
  <c r="AQ60" i="23"/>
  <c r="AU60" i="23"/>
  <c r="AY60" i="23"/>
  <c r="BC60" i="23"/>
  <c r="AI61" i="23"/>
  <c r="AM61" i="23"/>
  <c r="AQ61" i="23"/>
  <c r="AU61" i="23"/>
  <c r="AY61" i="23"/>
  <c r="BC61" i="23"/>
  <c r="AI62" i="23"/>
  <c r="AM62" i="23"/>
  <c r="AQ62" i="23"/>
  <c r="AU62" i="23"/>
  <c r="AY62" i="23"/>
  <c r="BC62" i="23"/>
  <c r="AI63" i="23"/>
  <c r="AM63" i="23"/>
  <c r="AR63" i="23"/>
  <c r="AX63" i="23"/>
  <c r="BC63" i="23"/>
  <c r="AL64" i="23"/>
  <c r="AQ64" i="23"/>
  <c r="AX64" i="23"/>
  <c r="BD64" i="23"/>
  <c r="AP65" i="23"/>
  <c r="AV65" i="23"/>
  <c r="AN66" i="23"/>
  <c r="AU66" i="23"/>
  <c r="AR67" i="23"/>
  <c r="BC67" i="23"/>
  <c r="AQ68" i="23"/>
  <c r="BB68" i="23"/>
  <c r="AP69" i="23"/>
  <c r="AV70" i="23"/>
  <c r="AU71" i="23"/>
  <c r="AT72" i="23"/>
  <c r="AQ74" i="23"/>
  <c r="AP75" i="23"/>
  <c r="R76" i="23"/>
  <c r="AN76" i="23"/>
  <c r="AJ79" i="23"/>
  <c r="AI80" i="23"/>
  <c r="BD80" i="23"/>
  <c r="AN82" i="23"/>
  <c r="AV84" i="23"/>
  <c r="AK86" i="23"/>
  <c r="AJ87" i="23"/>
  <c r="AP96" i="23"/>
  <c r="BA66" i="23"/>
  <c r="AW66" i="23"/>
  <c r="AS66" i="23"/>
  <c r="AO66" i="23"/>
  <c r="AK66" i="23"/>
  <c r="AZ66" i="23"/>
  <c r="BC66" i="23"/>
  <c r="AX66" i="23"/>
  <c r="AR66" i="23"/>
  <c r="AM66" i="23"/>
  <c r="BA78" i="23"/>
  <c r="AW78" i="23"/>
  <c r="AS78" i="23"/>
  <c r="AO78" i="23"/>
  <c r="AK78" i="23"/>
  <c r="P78" i="23"/>
  <c r="AZ78" i="23"/>
  <c r="AU78" i="23"/>
  <c r="AP78" i="23"/>
  <c r="AJ78" i="23"/>
  <c r="BD78" i="23"/>
  <c r="AY78" i="23"/>
  <c r="AT78" i="23"/>
  <c r="AN78" i="23"/>
  <c r="AI78" i="23"/>
  <c r="R78" i="23"/>
  <c r="BC78" i="23"/>
  <c r="AX78" i="23"/>
  <c r="AR78" i="23"/>
  <c r="AM78" i="23"/>
  <c r="BC90" i="23"/>
  <c r="AY90" i="23"/>
  <c r="AU90" i="23"/>
  <c r="AQ90" i="23"/>
  <c r="AM90" i="23"/>
  <c r="AI90" i="23"/>
  <c r="BD90" i="23"/>
  <c r="AX90" i="23"/>
  <c r="AS90" i="23"/>
  <c r="AN90" i="23"/>
  <c r="BB90" i="23"/>
  <c r="AW90" i="23"/>
  <c r="AR90" i="23"/>
  <c r="AL90" i="23"/>
  <c r="AZ90" i="23"/>
  <c r="AO90" i="23"/>
  <c r="AV90" i="23"/>
  <c r="AK90" i="23"/>
  <c r="AT90" i="23"/>
  <c r="AJ90" i="23"/>
  <c r="BC98" i="23"/>
  <c r="AY98" i="23"/>
  <c r="AU98" i="23"/>
  <c r="AQ98" i="23"/>
  <c r="AM98" i="23"/>
  <c r="AI98" i="23"/>
  <c r="BA98" i="23"/>
  <c r="AV98" i="23"/>
  <c r="AP98" i="23"/>
  <c r="AK98" i="23"/>
  <c r="BD98" i="23"/>
  <c r="AX98" i="23"/>
  <c r="AS98" i="23"/>
  <c r="AN98" i="23"/>
  <c r="BB98" i="23"/>
  <c r="AR98" i="23"/>
  <c r="AZ98" i="23"/>
  <c r="AO98" i="23"/>
  <c r="AT98" i="23"/>
  <c r="AL98" i="23"/>
  <c r="AJ98" i="23"/>
  <c r="AK58" i="23"/>
  <c r="AS58" i="23"/>
  <c r="BA58" i="23"/>
  <c r="BA65" i="23"/>
  <c r="AW65" i="23"/>
  <c r="AS65" i="23"/>
  <c r="AO65" i="23"/>
  <c r="AK65" i="23"/>
  <c r="BD65" i="23"/>
  <c r="AY65" i="23"/>
  <c r="AT65" i="23"/>
  <c r="AN65" i="23"/>
  <c r="AI65" i="23"/>
  <c r="BA69" i="23"/>
  <c r="AW69" i="23"/>
  <c r="AS69" i="23"/>
  <c r="AO69" i="23"/>
  <c r="AK69" i="23"/>
  <c r="BB69" i="23"/>
  <c r="AV69" i="23"/>
  <c r="AQ69" i="23"/>
  <c r="AL69" i="23"/>
  <c r="BD69" i="23"/>
  <c r="AY69" i="23"/>
  <c r="AT69" i="23"/>
  <c r="AN69" i="23"/>
  <c r="AI69" i="23"/>
  <c r="BA73" i="23"/>
  <c r="AW73" i="23"/>
  <c r="AS73" i="23"/>
  <c r="AO73" i="23"/>
  <c r="AK73" i="23"/>
  <c r="P73" i="23"/>
  <c r="BB73" i="23"/>
  <c r="AV73" i="23"/>
  <c r="AQ73" i="23"/>
  <c r="AL73" i="23"/>
  <c r="AZ73" i="23"/>
  <c r="AU73" i="23"/>
  <c r="AP73" i="23"/>
  <c r="AJ73" i="23"/>
  <c r="BD73" i="23"/>
  <c r="AY73" i="23"/>
  <c r="AT73" i="23"/>
  <c r="AN73" i="23"/>
  <c r="AI73" i="23"/>
  <c r="R73" i="23"/>
  <c r="BA77" i="23"/>
  <c r="AW77" i="23"/>
  <c r="AS77" i="23"/>
  <c r="AO77" i="23"/>
  <c r="AK77" i="23"/>
  <c r="BB77" i="23"/>
  <c r="AV77" i="23"/>
  <c r="AQ77" i="23"/>
  <c r="AL77" i="23"/>
  <c r="AZ77" i="23"/>
  <c r="AU77" i="23"/>
  <c r="AP77" i="23"/>
  <c r="AJ77" i="23"/>
  <c r="BD77" i="23"/>
  <c r="AY77" i="23"/>
  <c r="AT77" i="23"/>
  <c r="AN77" i="23"/>
  <c r="AI77" i="23"/>
  <c r="BA81" i="23"/>
  <c r="AW81" i="23"/>
  <c r="AS81" i="23"/>
  <c r="AO81" i="23"/>
  <c r="AK81" i="23"/>
  <c r="P81" i="23"/>
  <c r="BB81" i="23"/>
  <c r="AV81" i="23"/>
  <c r="AQ81" i="23"/>
  <c r="AL81" i="23"/>
  <c r="AZ81" i="23"/>
  <c r="AU81" i="23"/>
  <c r="AP81" i="23"/>
  <c r="AJ81" i="23"/>
  <c r="BD81" i="23"/>
  <c r="AY81" i="23"/>
  <c r="AT81" i="23"/>
  <c r="AN81" i="23"/>
  <c r="AI81" i="23"/>
  <c r="R81" i="23"/>
  <c r="BC85" i="23"/>
  <c r="AY85" i="23"/>
  <c r="AU85" i="23"/>
  <c r="AQ85" i="23"/>
  <c r="AM85" i="23"/>
  <c r="AI85" i="23"/>
  <c r="AZ85" i="23"/>
  <c r="AT85" i="23"/>
  <c r="AO85" i="23"/>
  <c r="AJ85" i="23"/>
  <c r="BD85" i="23"/>
  <c r="AX85" i="23"/>
  <c r="AS85" i="23"/>
  <c r="AN85" i="23"/>
  <c r="AV85" i="23"/>
  <c r="AK85" i="23"/>
  <c r="BB85" i="23"/>
  <c r="AR85" i="23"/>
  <c r="BA85" i="23"/>
  <c r="AP85" i="23"/>
  <c r="BC89" i="23"/>
  <c r="AY89" i="23"/>
  <c r="AU89" i="23"/>
  <c r="AQ89" i="23"/>
  <c r="AM89" i="23"/>
  <c r="AI89" i="23"/>
  <c r="AZ89" i="23"/>
  <c r="AT89" i="23"/>
  <c r="AO89" i="23"/>
  <c r="AJ89" i="23"/>
  <c r="BD89" i="23"/>
  <c r="AX89" i="23"/>
  <c r="AS89" i="23"/>
  <c r="AN89" i="23"/>
  <c r="BA89" i="23"/>
  <c r="AP89" i="23"/>
  <c r="AW89" i="23"/>
  <c r="AL89" i="23"/>
  <c r="AV89" i="23"/>
  <c r="AK89" i="23"/>
  <c r="BA93" i="23"/>
  <c r="AW93" i="23"/>
  <c r="AS93" i="23"/>
  <c r="AO93" i="23"/>
  <c r="AK93" i="23"/>
  <c r="BC93" i="23"/>
  <c r="AY93" i="23"/>
  <c r="AU93" i="23"/>
  <c r="AQ93" i="23"/>
  <c r="AM93" i="23"/>
  <c r="AI93" i="23"/>
  <c r="AX93" i="23"/>
  <c r="AP93" i="23"/>
  <c r="BD93" i="23"/>
  <c r="AV93" i="23"/>
  <c r="AN93" i="23"/>
  <c r="AR93" i="23"/>
  <c r="BB93" i="23"/>
  <c r="AL93" i="23"/>
  <c r="AZ93" i="23"/>
  <c r="AJ93" i="23"/>
  <c r="BC97" i="23"/>
  <c r="AY97" i="23"/>
  <c r="AU97" i="23"/>
  <c r="AQ97" i="23"/>
  <c r="AM97" i="23"/>
  <c r="AI97" i="23"/>
  <c r="BB97" i="23"/>
  <c r="AW97" i="23"/>
  <c r="AR97" i="23"/>
  <c r="AL97" i="23"/>
  <c r="AZ97" i="23"/>
  <c r="AT97" i="23"/>
  <c r="AO97" i="23"/>
  <c r="AJ97" i="23"/>
  <c r="BD97" i="23"/>
  <c r="AS97" i="23"/>
  <c r="BA97" i="23"/>
  <c r="AP97" i="23"/>
  <c r="AV97" i="23"/>
  <c r="AN97" i="23"/>
  <c r="AK97" i="23"/>
  <c r="BC101" i="23"/>
  <c r="AY101" i="23"/>
  <c r="AU101" i="23"/>
  <c r="AQ101" i="23"/>
  <c r="AM101" i="23"/>
  <c r="AI101" i="23"/>
  <c r="BB101" i="23"/>
  <c r="AX101" i="23"/>
  <c r="AT101" i="23"/>
  <c r="AP101" i="23"/>
  <c r="AL101" i="23"/>
  <c r="BA101" i="23"/>
  <c r="AW101" i="23"/>
  <c r="AS101" i="23"/>
  <c r="AO101" i="23"/>
  <c r="AK101" i="23"/>
  <c r="AZ101" i="23"/>
  <c r="AJ101" i="23"/>
  <c r="AR101" i="23"/>
  <c r="AN101" i="23"/>
  <c r="AV101" i="23"/>
  <c r="AJ57" i="23"/>
  <c r="AN57" i="23"/>
  <c r="AR57" i="23"/>
  <c r="AV57" i="23"/>
  <c r="AZ57" i="23"/>
  <c r="AJ58" i="23"/>
  <c r="AN58" i="23"/>
  <c r="AR58" i="23"/>
  <c r="AV58" i="23"/>
  <c r="AZ58" i="23"/>
  <c r="AJ59" i="23"/>
  <c r="AN59" i="23"/>
  <c r="AR59" i="23"/>
  <c r="AV59" i="23"/>
  <c r="AZ59" i="23"/>
  <c r="AJ60" i="23"/>
  <c r="AN60" i="23"/>
  <c r="AR60" i="23"/>
  <c r="AV60" i="23"/>
  <c r="AZ60" i="23"/>
  <c r="AJ61" i="23"/>
  <c r="AN61" i="23"/>
  <c r="AR61" i="23"/>
  <c r="AV61" i="23"/>
  <c r="AZ61" i="23"/>
  <c r="AJ62" i="23"/>
  <c r="AN62" i="23"/>
  <c r="AR62" i="23"/>
  <c r="AV62" i="23"/>
  <c r="AZ62" i="23"/>
  <c r="AJ63" i="23"/>
  <c r="AN63" i="23"/>
  <c r="AT63" i="23"/>
  <c r="AY63" i="23"/>
  <c r="BD63" i="23"/>
  <c r="AM64" i="23"/>
  <c r="AR64" i="23"/>
  <c r="AY64" i="23"/>
  <c r="AJ65" i="23"/>
  <c r="AQ65" i="23"/>
  <c r="AX65" i="23"/>
  <c r="AI66" i="23"/>
  <c r="AP66" i="23"/>
  <c r="AV66" i="23"/>
  <c r="AJ67" i="23"/>
  <c r="AU67" i="23"/>
  <c r="AI68" i="23"/>
  <c r="AT68" i="23"/>
  <c r="BD68" i="23"/>
  <c r="AR69" i="23"/>
  <c r="BC69" i="23"/>
  <c r="BB70" i="23"/>
  <c r="AZ71" i="23"/>
  <c r="AY72" i="23"/>
  <c r="AX73" i="23"/>
  <c r="AV74" i="23"/>
  <c r="AU75" i="23"/>
  <c r="AT76" i="23"/>
  <c r="AR77" i="23"/>
  <c r="AQ78" i="23"/>
  <c r="AP79" i="23"/>
  <c r="R80" i="23"/>
  <c r="AN80" i="23"/>
  <c r="AM81" i="23"/>
  <c r="AV82" i="23"/>
  <c r="AJ83" i="23"/>
  <c r="BD84" i="23"/>
  <c r="AW85" i="23"/>
  <c r="AV86" i="23"/>
  <c r="AT87" i="23"/>
  <c r="AS88" i="23"/>
  <c r="AR89" i="23"/>
  <c r="AP90" i="23"/>
  <c r="AO91" i="23"/>
  <c r="AP92" i="23"/>
  <c r="AL95" i="23"/>
  <c r="AW98" i="23"/>
  <c r="AG51" i="24"/>
  <c r="AC51" i="24"/>
  <c r="Y51" i="24"/>
  <c r="AF51" i="24"/>
  <c r="AB51" i="24"/>
  <c r="X51" i="24"/>
  <c r="AE51" i="24"/>
  <c r="AA51" i="24"/>
  <c r="AD51" i="24"/>
  <c r="Z51" i="24"/>
  <c r="AH51" i="24"/>
  <c r="AF55" i="24"/>
  <c r="AB55" i="24"/>
  <c r="X55" i="24"/>
  <c r="AE55" i="24"/>
  <c r="AA55" i="24"/>
  <c r="AC55" i="24"/>
  <c r="AH55" i="24"/>
  <c r="Z55" i="24"/>
  <c r="AG55" i="24"/>
  <c r="Y55" i="24"/>
  <c r="AD55" i="24"/>
  <c r="AF59" i="24"/>
  <c r="AB59" i="24"/>
  <c r="X59" i="24"/>
  <c r="AE59" i="24"/>
  <c r="AA59" i="24"/>
  <c r="AC59" i="24"/>
  <c r="AH59" i="24"/>
  <c r="Z59" i="24"/>
  <c r="AG59" i="24"/>
  <c r="Y59" i="24"/>
  <c r="AD59" i="24"/>
  <c r="AF63" i="24"/>
  <c r="AB63" i="24"/>
  <c r="X63" i="24"/>
  <c r="AE63" i="24"/>
  <c r="AA63" i="24"/>
  <c r="AC63" i="24"/>
  <c r="AH63" i="24"/>
  <c r="Z63" i="24"/>
  <c r="AG63" i="24"/>
  <c r="Y63" i="24"/>
  <c r="AD63" i="24"/>
  <c r="AF67" i="24"/>
  <c r="AB67" i="24"/>
  <c r="X67" i="24"/>
  <c r="AE67" i="24"/>
  <c r="AA67" i="24"/>
  <c r="AC67" i="24"/>
  <c r="AH67" i="24"/>
  <c r="Z67" i="24"/>
  <c r="AG67" i="24"/>
  <c r="Y67" i="24"/>
  <c r="AD67" i="24"/>
  <c r="AG71" i="24"/>
  <c r="AC71" i="24"/>
  <c r="Y71" i="24"/>
  <c r="AF71" i="24"/>
  <c r="AB71" i="24"/>
  <c r="X71" i="24"/>
  <c r="AE71" i="24"/>
  <c r="AA71" i="24"/>
  <c r="AH71" i="24"/>
  <c r="AD71" i="24"/>
  <c r="Z71" i="24"/>
  <c r="AE75" i="24"/>
  <c r="AA75" i="24"/>
  <c r="AH75" i="24"/>
  <c r="AC75" i="24"/>
  <c r="X75" i="24"/>
  <c r="AG75" i="24"/>
  <c r="AB75" i="24"/>
  <c r="AF75" i="24"/>
  <c r="Z75" i="24"/>
  <c r="AD75" i="24"/>
  <c r="Y75" i="24"/>
  <c r="AE79" i="24"/>
  <c r="AA79" i="24"/>
  <c r="AF79" i="24"/>
  <c r="Z79" i="24"/>
  <c r="AD79" i="24"/>
  <c r="Y79" i="24"/>
  <c r="AH79" i="24"/>
  <c r="AC79" i="24"/>
  <c r="X79" i="24"/>
  <c r="AB79" i="24"/>
  <c r="AG79" i="24"/>
  <c r="AE83" i="24"/>
  <c r="AA83" i="24"/>
  <c r="AH83" i="24"/>
  <c r="AC83" i="24"/>
  <c r="X83" i="24"/>
  <c r="AG83" i="24"/>
  <c r="AB83" i="24"/>
  <c r="AF83" i="24"/>
  <c r="Z83" i="24"/>
  <c r="Y83" i="24"/>
  <c r="AD83" i="24"/>
  <c r="AH56" i="24"/>
  <c r="AD56" i="24"/>
  <c r="Z56" i="24"/>
  <c r="AG56" i="24"/>
  <c r="AC56" i="24"/>
  <c r="Y56" i="24"/>
  <c r="AH60" i="24"/>
  <c r="AD60" i="24"/>
  <c r="Z60" i="24"/>
  <c r="AG60" i="24"/>
  <c r="AC60" i="24"/>
  <c r="Y60" i="24"/>
  <c r="AH64" i="24"/>
  <c r="AD64" i="24"/>
  <c r="Z64" i="24"/>
  <c r="AG64" i="24"/>
  <c r="AC64" i="24"/>
  <c r="Y64" i="24"/>
  <c r="AH68" i="24"/>
  <c r="AD68" i="24"/>
  <c r="Z68" i="24"/>
  <c r="AG68" i="24"/>
  <c r="AC68" i="24"/>
  <c r="Y68" i="24"/>
  <c r="AE72" i="24"/>
  <c r="AA72" i="24"/>
  <c r="AH72" i="24"/>
  <c r="AD72" i="24"/>
  <c r="Z72" i="24"/>
  <c r="AG72" i="24"/>
  <c r="AC72" i="24"/>
  <c r="Y72" i="24"/>
  <c r="AG76" i="24"/>
  <c r="AC76" i="24"/>
  <c r="Y76" i="24"/>
  <c r="AH76" i="24"/>
  <c r="AB76" i="24"/>
  <c r="AF76" i="24"/>
  <c r="AA76" i="24"/>
  <c r="AE76" i="24"/>
  <c r="Z76" i="24"/>
  <c r="AG80" i="24"/>
  <c r="AC80" i="24"/>
  <c r="Y80" i="24"/>
  <c r="AE80" i="24"/>
  <c r="Z80" i="24"/>
  <c r="AD80" i="24"/>
  <c r="X80" i="24"/>
  <c r="AH80" i="24"/>
  <c r="AB80" i="24"/>
  <c r="AG84" i="24"/>
  <c r="AC84" i="24"/>
  <c r="Y84" i="24"/>
  <c r="AH84" i="24"/>
  <c r="AB84" i="24"/>
  <c r="AF84" i="24"/>
  <c r="AA84" i="24"/>
  <c r="AE84" i="24"/>
  <c r="Z84" i="24"/>
  <c r="Y48" i="24"/>
  <c r="AC48" i="24"/>
  <c r="AG48" i="24"/>
  <c r="AA49" i="24"/>
  <c r="AE49" i="24"/>
  <c r="Y50" i="24"/>
  <c r="AC50" i="24"/>
  <c r="AG50" i="24"/>
  <c r="Y52" i="24"/>
  <c r="AC52" i="24"/>
  <c r="AG52" i="24"/>
  <c r="AA53" i="24"/>
  <c r="AE53" i="24"/>
  <c r="AE54" i="24"/>
  <c r="AA56" i="24"/>
  <c r="AE58" i="24"/>
  <c r="AA60" i="24"/>
  <c r="AE62" i="24"/>
  <c r="AA64" i="24"/>
  <c r="AE66" i="24"/>
  <c r="AA68" i="24"/>
  <c r="AF70" i="24"/>
  <c r="X74" i="24"/>
  <c r="AF57" i="24"/>
  <c r="AB57" i="24"/>
  <c r="X57" i="24"/>
  <c r="AE57" i="24"/>
  <c r="AA57" i="24"/>
  <c r="AF61" i="24"/>
  <c r="AB61" i="24"/>
  <c r="X61" i="24"/>
  <c r="AE61" i="24"/>
  <c r="AA61" i="24"/>
  <c r="AF65" i="24"/>
  <c r="AB65" i="24"/>
  <c r="X65" i="24"/>
  <c r="AE65" i="24"/>
  <c r="AA65" i="24"/>
  <c r="AG69" i="24"/>
  <c r="AC69" i="24"/>
  <c r="Y69" i="24"/>
  <c r="AF69" i="24"/>
  <c r="AB69" i="24"/>
  <c r="X69" i="24"/>
  <c r="AE69" i="24"/>
  <c r="AA69" i="24"/>
  <c r="AG73" i="24"/>
  <c r="AC73" i="24"/>
  <c r="Y73" i="24"/>
  <c r="AF73" i="24"/>
  <c r="AB73" i="24"/>
  <c r="X73" i="24"/>
  <c r="AE73" i="24"/>
  <c r="AA73" i="24"/>
  <c r="AE77" i="24"/>
  <c r="AA77" i="24"/>
  <c r="AG77" i="24"/>
  <c r="AB77" i="24"/>
  <c r="AF77" i="24"/>
  <c r="Z77" i="24"/>
  <c r="AD77" i="24"/>
  <c r="Y77" i="24"/>
  <c r="AE81" i="24"/>
  <c r="AA81" i="24"/>
  <c r="AD81" i="24"/>
  <c r="Y81" i="24"/>
  <c r="AH81" i="24"/>
  <c r="AC81" i="24"/>
  <c r="X81" i="24"/>
  <c r="AG81" i="24"/>
  <c r="AB81" i="24"/>
  <c r="AE85" i="24"/>
  <c r="AA85" i="24"/>
  <c r="AG85" i="24"/>
  <c r="AB85" i="24"/>
  <c r="AF85" i="24"/>
  <c r="Z85" i="24"/>
  <c r="AD85" i="24"/>
  <c r="Y85" i="24"/>
  <c r="Z48" i="24"/>
  <c r="AD48" i="24"/>
  <c r="AH48" i="24"/>
  <c r="X49" i="24"/>
  <c r="AB49" i="24"/>
  <c r="AF49" i="24"/>
  <c r="Z50" i="24"/>
  <c r="AD50" i="24"/>
  <c r="AH50" i="24"/>
  <c r="Z52" i="24"/>
  <c r="AD52" i="24"/>
  <c r="AH52" i="24"/>
  <c r="X53" i="24"/>
  <c r="AB53" i="24"/>
  <c r="AF53" i="24"/>
  <c r="X54" i="24"/>
  <c r="AB56" i="24"/>
  <c r="AD57" i="24"/>
  <c r="X58" i="24"/>
  <c r="AB60" i="24"/>
  <c r="AD61" i="24"/>
  <c r="X62" i="24"/>
  <c r="AB64" i="24"/>
  <c r="AD65" i="24"/>
  <c r="X66" i="24"/>
  <c r="AB68" i="24"/>
  <c r="Z69" i="24"/>
  <c r="X72" i="24"/>
  <c r="AH73" i="24"/>
  <c r="X76" i="24"/>
  <c r="X77" i="24"/>
  <c r="AH54" i="24"/>
  <c r="AD54" i="24"/>
  <c r="Z54" i="24"/>
  <c r="AG54" i="24"/>
  <c r="AC54" i="24"/>
  <c r="Y54" i="24"/>
  <c r="AH58" i="24"/>
  <c r="AD58" i="24"/>
  <c r="Z58" i="24"/>
  <c r="AG58" i="24"/>
  <c r="AC58" i="24"/>
  <c r="Y58" i="24"/>
  <c r="AH62" i="24"/>
  <c r="AD62" i="24"/>
  <c r="Z62" i="24"/>
  <c r="AG62" i="24"/>
  <c r="AC62" i="24"/>
  <c r="Y62" i="24"/>
  <c r="AH66" i="24"/>
  <c r="AD66" i="24"/>
  <c r="Z66" i="24"/>
  <c r="AG66" i="24"/>
  <c r="AC66" i="24"/>
  <c r="Y66" i="24"/>
  <c r="AE70" i="24"/>
  <c r="AA70" i="24"/>
  <c r="AH70" i="24"/>
  <c r="AD70" i="24"/>
  <c r="Z70" i="24"/>
  <c r="AG70" i="24"/>
  <c r="AC70" i="24"/>
  <c r="Y70" i="24"/>
  <c r="AE74" i="24"/>
  <c r="AA74" i="24"/>
  <c r="AH74" i="24"/>
  <c r="AD74" i="24"/>
  <c r="Z74" i="24"/>
  <c r="AG74" i="24"/>
  <c r="AC74" i="24"/>
  <c r="Y74" i="24"/>
  <c r="AG78" i="24"/>
  <c r="AC78" i="24"/>
  <c r="Y78" i="24"/>
  <c r="AF78" i="24"/>
  <c r="AA78" i="24"/>
  <c r="AE78" i="24"/>
  <c r="Z78" i="24"/>
  <c r="AD78" i="24"/>
  <c r="X78" i="24"/>
  <c r="AG82" i="24"/>
  <c r="AC82" i="24"/>
  <c r="Y82" i="24"/>
  <c r="AD82" i="24"/>
  <c r="X82" i="24"/>
  <c r="AH82" i="24"/>
  <c r="AB82" i="24"/>
  <c r="AF82" i="24"/>
  <c r="AA82" i="24"/>
  <c r="AA48" i="24"/>
  <c r="Y49" i="24"/>
  <c r="AC49" i="24"/>
  <c r="G8" i="26" s="1"/>
  <c r="AA50" i="24"/>
  <c r="AA52" i="24"/>
  <c r="Y53" i="24"/>
  <c r="AC53" i="24"/>
  <c r="AA54" i="24"/>
  <c r="AE56" i="24"/>
  <c r="Y57" i="24"/>
  <c r="AG57" i="24"/>
  <c r="AA58" i="24"/>
  <c r="AE60" i="24"/>
  <c r="Y61" i="24"/>
  <c r="AG61" i="24"/>
  <c r="AA62" i="24"/>
  <c r="AE64" i="24"/>
  <c r="Y65" i="24"/>
  <c r="AG65" i="24"/>
  <c r="AA66" i="24"/>
  <c r="AE68" i="24"/>
  <c r="AD69" i="24"/>
  <c r="X70" i="24"/>
  <c r="AB72" i="24"/>
  <c r="AF74" i="24"/>
  <c r="AD76" i="24"/>
  <c r="AC77" i="24"/>
  <c r="AB78" i="24"/>
  <c r="AA80" i="24"/>
  <c r="Z81" i="24"/>
  <c r="Z82" i="24"/>
  <c r="X84" i="24"/>
  <c r="X85" i="24"/>
  <c r="R8" i="25"/>
  <c r="J8" i="25"/>
  <c r="F8" i="25"/>
  <c r="C8" i="25"/>
  <c r="E8" i="26"/>
  <c r="C8" i="26"/>
  <c r="Z4" i="21"/>
  <c r="AH4" i="21" s="1"/>
  <c r="AJ5" i="21"/>
  <c r="AJ8" i="21"/>
  <c r="AJ13" i="21"/>
  <c r="Z6" i="21"/>
  <c r="AH6" i="21" s="1"/>
  <c r="AH8" i="21"/>
  <c r="Z3" i="21"/>
  <c r="AH3" i="21" s="1"/>
  <c r="Z5" i="21"/>
  <c r="AH5" i="21" s="1"/>
  <c r="Z13" i="21"/>
  <c r="AH13" i="21" s="1"/>
  <c r="U10" i="21"/>
  <c r="AI10" i="21" s="1"/>
  <c r="R9" i="21"/>
  <c r="M65" i="21"/>
  <c r="U9" i="21" s="1"/>
  <c r="AI9" i="21" s="1"/>
  <c r="R12" i="21"/>
  <c r="M230" i="21"/>
  <c r="U12" i="21" s="1"/>
  <c r="AI12" i="21" s="1"/>
  <c r="R10" i="21"/>
  <c r="U11" i="21"/>
  <c r="AI11" i="21" s="1"/>
  <c r="R11" i="21"/>
  <c r="AI6" i="21"/>
  <c r="AT8" i="16"/>
  <c r="AT9" i="16" s="1"/>
  <c r="AJ5" i="16"/>
  <c r="AJ8" i="16" s="1"/>
  <c r="AC5" i="17"/>
  <c r="AC13" i="17"/>
  <c r="AC21" i="17"/>
  <c r="AC45" i="17"/>
  <c r="AC53" i="17"/>
  <c r="AC57" i="17"/>
  <c r="AC61" i="17"/>
  <c r="AC65" i="17"/>
  <c r="AC69" i="17"/>
  <c r="AC44" i="17"/>
  <c r="AC37" i="17"/>
  <c r="AC6" i="17"/>
  <c r="AC10" i="17"/>
  <c r="AC14" i="17"/>
  <c r="AC18" i="17"/>
  <c r="AC22" i="17"/>
  <c r="AC26" i="17"/>
  <c r="AC30" i="17"/>
  <c r="AC34" i="17"/>
  <c r="AC38" i="17"/>
  <c r="AC42" i="17"/>
  <c r="AC46" i="17"/>
  <c r="AC50" i="17"/>
  <c r="AC54" i="17"/>
  <c r="AC58" i="17"/>
  <c r="AC62" i="17"/>
  <c r="AC66" i="17"/>
  <c r="AO8" i="16"/>
  <c r="AC48" i="17"/>
  <c r="AC52" i="17"/>
  <c r="AC29" i="17"/>
  <c r="AC55" i="17"/>
  <c r="AC59" i="17"/>
  <c r="AC63" i="17"/>
  <c r="AC67" i="17"/>
  <c r="M24" i="6"/>
  <c r="M11" i="6"/>
  <c r="W54" i="9"/>
  <c r="W54" i="8"/>
  <c r="W58" i="8" s="1"/>
  <c r="W54" i="7"/>
  <c r="AI54" i="9"/>
  <c r="AI54" i="8"/>
  <c r="AI58" i="8" s="1"/>
  <c r="AI54" i="7"/>
  <c r="AH54" i="9"/>
  <c r="AH54" i="8"/>
  <c r="AH54" i="7"/>
  <c r="AL54" i="9"/>
  <c r="AL54" i="8"/>
  <c r="AL54" i="7"/>
  <c r="AG54" i="9"/>
  <c r="AG54" i="8"/>
  <c r="AG54" i="7"/>
  <c r="AD54" i="9"/>
  <c r="AD54" i="8"/>
  <c r="AD54" i="7"/>
  <c r="AJ54" i="8"/>
  <c r="AJ58" i="8" s="1"/>
  <c r="AJ54" i="9"/>
  <c r="AJ54" i="7"/>
  <c r="AA47" i="13"/>
  <c r="AA47" i="12"/>
  <c r="AA47" i="11"/>
  <c r="AA47" i="10"/>
  <c r="D18" i="5"/>
  <c r="AB56" i="6" s="1"/>
  <c r="AD56" i="9"/>
  <c r="AD56" i="8"/>
  <c r="W45" i="13"/>
  <c r="W45" i="12"/>
  <c r="W45" i="11"/>
  <c r="W45" i="10"/>
  <c r="Y47" i="13"/>
  <c r="Y47" i="12"/>
  <c r="Y47" i="11"/>
  <c r="Y47" i="10"/>
  <c r="R45" i="13"/>
  <c r="R45" i="12"/>
  <c r="R45" i="10"/>
  <c r="R45" i="11"/>
  <c r="Z56" i="9"/>
  <c r="Z56" i="8"/>
  <c r="E28" i="5"/>
  <c r="AI55" i="9"/>
  <c r="AI55" i="8"/>
  <c r="F28" i="5"/>
  <c r="AJ56" i="9"/>
  <c r="AJ56" i="8"/>
  <c r="P17" i="5"/>
  <c r="O54" i="8"/>
  <c r="O58" i="8" s="1"/>
  <c r="O54" i="9"/>
  <c r="O54" i="7"/>
  <c r="S54" i="9"/>
  <c r="S54" i="8"/>
  <c r="S54" i="7"/>
  <c r="AD58" i="6"/>
  <c r="AI57" i="6"/>
  <c r="AJ58" i="6"/>
  <c r="AA54" i="9"/>
  <c r="AA54" i="8"/>
  <c r="AA58" i="8" s="1"/>
  <c r="AA54" i="7"/>
  <c r="U56" i="7"/>
  <c r="AJ55" i="9"/>
  <c r="AJ55" i="8"/>
  <c r="AA45" i="13"/>
  <c r="AA45" i="12"/>
  <c r="AA45" i="11"/>
  <c r="AA45" i="10"/>
  <c r="F18" i="5"/>
  <c r="AA56" i="9"/>
  <c r="AA56" i="8"/>
  <c r="AH55" i="9"/>
  <c r="AH55" i="8"/>
  <c r="AI56" i="9"/>
  <c r="AI56" i="8"/>
  <c r="R55" i="6"/>
  <c r="R60" i="6" s="1"/>
  <c r="R50" i="7" s="1"/>
  <c r="Y55" i="6"/>
  <c r="M54" i="8"/>
  <c r="M58" i="8" s="1"/>
  <c r="M54" i="9"/>
  <c r="M54" i="7"/>
  <c r="R54" i="9"/>
  <c r="R54" i="8"/>
  <c r="R58" i="8" s="1"/>
  <c r="R54" i="7"/>
  <c r="Z58" i="6"/>
  <c r="AE54" i="9"/>
  <c r="AE54" i="8"/>
  <c r="AE54" i="7"/>
  <c r="AH57" i="6"/>
  <c r="AI58" i="6"/>
  <c r="AK54" i="9"/>
  <c r="AK54" i="8"/>
  <c r="AK58" i="8" s="1"/>
  <c r="AK54" i="7"/>
  <c r="AH55" i="7"/>
  <c r="Z56" i="7"/>
  <c r="AD56" i="7"/>
  <c r="AD55" i="9"/>
  <c r="AD55" i="8"/>
  <c r="Y45" i="13"/>
  <c r="Y45" i="12"/>
  <c r="Y45" i="11"/>
  <c r="Y45" i="10"/>
  <c r="V56" i="9"/>
  <c r="V56" i="8"/>
  <c r="Z47" i="13"/>
  <c r="Z47" i="12"/>
  <c r="Z47" i="10"/>
  <c r="Z47" i="11"/>
  <c r="AB55" i="9"/>
  <c r="AB55" i="8"/>
  <c r="W46" i="13"/>
  <c r="W46" i="12"/>
  <c r="W46" i="11"/>
  <c r="W46" i="10"/>
  <c r="Z45" i="13"/>
  <c r="Z45" i="12"/>
  <c r="Z49" i="12" s="1"/>
  <c r="Z45" i="11"/>
  <c r="Z49" i="11" s="1"/>
  <c r="Z45" i="10"/>
  <c r="AG56" i="9"/>
  <c r="AG56" i="8"/>
  <c r="W47" i="13"/>
  <c r="W47" i="12"/>
  <c r="W47" i="11"/>
  <c r="W47" i="10"/>
  <c r="AA46" i="13"/>
  <c r="AA46" i="12"/>
  <c r="AA46" i="11"/>
  <c r="AA46" i="10"/>
  <c r="U56" i="9"/>
  <c r="U56" i="8"/>
  <c r="U47" i="13"/>
  <c r="U47" i="12"/>
  <c r="U47" i="11"/>
  <c r="U47" i="10"/>
  <c r="AH56" i="9"/>
  <c r="AH56" i="8"/>
  <c r="Z46" i="13"/>
  <c r="Z46" i="12"/>
  <c r="Z46" i="11"/>
  <c r="Z46" i="10"/>
  <c r="P15" i="5"/>
  <c r="L54" i="9"/>
  <c r="L54" i="8"/>
  <c r="L58" i="8" s="1"/>
  <c r="L54" i="7"/>
  <c r="Q54" i="9"/>
  <c r="Q54" i="8"/>
  <c r="Q58" i="8" s="1"/>
  <c r="Q54" i="7"/>
  <c r="AH58" i="6"/>
  <c r="AI55" i="7"/>
  <c r="AA56" i="7"/>
  <c r="AI56" i="7"/>
  <c r="P54" i="8"/>
  <c r="P58" i="8" s="1"/>
  <c r="P54" i="9"/>
  <c r="P54" i="7"/>
  <c r="U54" i="9"/>
  <c r="U54" i="8"/>
  <c r="U58" i="8" s="1"/>
  <c r="U54" i="7"/>
  <c r="V58" i="6"/>
  <c r="X54" i="8"/>
  <c r="X58" i="8" s="1"/>
  <c r="X54" i="9"/>
  <c r="X54" i="7"/>
  <c r="AA58" i="6"/>
  <c r="AC54" i="9"/>
  <c r="AC54" i="8"/>
  <c r="AC58" i="8" s="1"/>
  <c r="AC54" i="7"/>
  <c r="AD57" i="6"/>
  <c r="AF54" i="8"/>
  <c r="AF54" i="9"/>
  <c r="AF54" i="7"/>
  <c r="AG58" i="6"/>
  <c r="AJ57" i="6"/>
  <c r="Z54" i="9"/>
  <c r="Z54" i="8"/>
  <c r="Z58" i="8" s="1"/>
  <c r="Z54" i="7"/>
  <c r="AB55" i="7"/>
  <c r="AJ55" i="7"/>
  <c r="AJ56" i="7"/>
  <c r="Y44" i="11"/>
  <c r="X44" i="11"/>
  <c r="M48" i="10"/>
  <c r="M48" i="11" s="1"/>
  <c r="O48" i="10"/>
  <c r="O48" i="11" s="1"/>
  <c r="U48" i="10"/>
  <c r="U48" i="11" s="1"/>
  <c r="X48" i="10"/>
  <c r="L44" i="10"/>
  <c r="N44" i="10"/>
  <c r="P44" i="10"/>
  <c r="S44" i="10"/>
  <c r="T44" i="10"/>
  <c r="V44" i="10"/>
  <c r="Y44" i="10"/>
  <c r="Z44" i="10"/>
  <c r="N48" i="10"/>
  <c r="P48" i="10"/>
  <c r="P48" i="11" s="1"/>
  <c r="T48" i="10"/>
  <c r="T48" i="12" s="1"/>
  <c r="V48" i="10"/>
  <c r="V48" i="11" s="1"/>
  <c r="Z48" i="10"/>
  <c r="Z48" i="12" s="1"/>
  <c r="M44" i="10"/>
  <c r="O44" i="10"/>
  <c r="O49" i="10" s="1"/>
  <c r="O26" i="11" s="1"/>
  <c r="Q44" i="10"/>
  <c r="R44" i="10"/>
  <c r="R49" i="10" s="1"/>
  <c r="U44" i="10"/>
  <c r="U49" i="10" s="1"/>
  <c r="W44" i="10"/>
  <c r="X44" i="10"/>
  <c r="X49" i="10" s="1"/>
  <c r="AA44" i="10"/>
  <c r="Z49" i="9"/>
  <c r="Z44" i="9"/>
  <c r="Z50" i="9"/>
  <c r="Z47" i="9"/>
  <c r="Z48" i="9"/>
  <c r="Z45" i="9"/>
  <c r="Z41" i="9"/>
  <c r="Z39" i="9"/>
  <c r="Z37" i="9"/>
  <c r="Z35" i="9"/>
  <c r="Z33" i="9"/>
  <c r="Z31" i="9"/>
  <c r="Z29" i="9"/>
  <c r="Z27" i="9"/>
  <c r="Z40" i="9"/>
  <c r="Z32" i="9"/>
  <c r="Z51" i="9"/>
  <c r="Z46" i="9"/>
  <c r="Z38" i="9"/>
  <c r="Z43" i="9"/>
  <c r="Z36" i="9"/>
  <c r="Z28" i="9"/>
  <c r="Z25" i="9"/>
  <c r="Z23" i="9"/>
  <c r="Z21" i="9"/>
  <c r="Z19" i="9"/>
  <c r="Z17" i="9"/>
  <c r="Z15" i="9"/>
  <c r="Z13" i="9"/>
  <c r="Z11" i="9"/>
  <c r="Z30" i="9"/>
  <c r="Z24" i="9"/>
  <c r="Z16" i="9"/>
  <c r="Z8" i="9"/>
  <c r="Z22" i="9"/>
  <c r="Z42" i="9"/>
  <c r="Z34" i="9"/>
  <c r="Z20" i="9"/>
  <c r="Z12" i="9"/>
  <c r="Z10" i="9"/>
  <c r="Z9" i="9"/>
  <c r="Z5" i="9"/>
  <c r="Z14" i="9"/>
  <c r="Z7" i="9"/>
  <c r="Z26" i="9"/>
  <c r="Z18" i="9"/>
  <c r="Z6" i="9"/>
  <c r="AA50" i="9"/>
  <c r="AA48" i="9"/>
  <c r="AA46" i="9"/>
  <c r="AA44" i="9"/>
  <c r="AA42" i="9"/>
  <c r="AA47" i="9"/>
  <c r="AA45" i="9"/>
  <c r="AA51" i="9"/>
  <c r="AA43" i="9"/>
  <c r="AA49" i="9"/>
  <c r="AA38" i="9"/>
  <c r="AA35" i="9"/>
  <c r="AA41" i="9"/>
  <c r="AA36" i="9"/>
  <c r="AA39" i="9"/>
  <c r="AA34" i="9"/>
  <c r="AA31" i="9"/>
  <c r="AA40" i="9"/>
  <c r="AA32" i="9"/>
  <c r="AA29" i="9"/>
  <c r="AA22" i="9"/>
  <c r="AA19" i="9"/>
  <c r="AA14" i="9"/>
  <c r="AA11" i="9"/>
  <c r="AA37" i="9"/>
  <c r="AA33" i="9"/>
  <c r="AA28" i="9"/>
  <c r="AA25" i="9"/>
  <c r="AA20" i="9"/>
  <c r="AA27" i="9"/>
  <c r="AA26" i="9"/>
  <c r="AA23" i="9"/>
  <c r="AA18" i="9"/>
  <c r="AA15" i="9"/>
  <c r="AA10" i="9"/>
  <c r="AA30" i="9"/>
  <c r="AA16" i="9"/>
  <c r="AA7" i="9"/>
  <c r="AA5" i="9"/>
  <c r="AA24" i="9"/>
  <c r="AA17" i="9"/>
  <c r="AA12" i="9"/>
  <c r="AA6" i="9"/>
  <c r="AA9" i="9"/>
  <c r="AA21" i="9"/>
  <c r="AA13" i="9"/>
  <c r="AA8" i="9"/>
  <c r="M63" i="6"/>
  <c r="M68" i="6"/>
  <c r="AF53" i="7"/>
  <c r="AE53" i="7"/>
  <c r="AA53" i="7"/>
  <c r="AA58" i="7" s="1"/>
  <c r="Z53" i="7"/>
  <c r="Z58" i="7" s="1"/>
  <c r="AG53" i="7"/>
  <c r="M67" i="6"/>
  <c r="M31" i="6"/>
  <c r="M45" i="6"/>
  <c r="M51" i="6"/>
  <c r="Z55" i="6"/>
  <c r="M7" i="6"/>
  <c r="M13" i="6"/>
  <c r="M17" i="6"/>
  <c r="M21" i="6"/>
  <c r="M23" i="6"/>
  <c r="M25" i="6"/>
  <c r="O55" i="6"/>
  <c r="O60" i="6" s="1"/>
  <c r="S55" i="6"/>
  <c r="S60" i="6" s="1"/>
  <c r="S33" i="7" s="1"/>
  <c r="U55" i="6"/>
  <c r="U60" i="6" s="1"/>
  <c r="AC55" i="6"/>
  <c r="AC60" i="6" s="1"/>
  <c r="AC47" i="7" s="1"/>
  <c r="AE55" i="6"/>
  <c r="AE60" i="6" s="1"/>
  <c r="M29" i="6"/>
  <c r="M35" i="6"/>
  <c r="M37" i="6"/>
  <c r="M39" i="6"/>
  <c r="M43" i="6"/>
  <c r="M49" i="6"/>
  <c r="M8" i="6"/>
  <c r="M14" i="6"/>
  <c r="M18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L55" i="6"/>
  <c r="L60" i="6" s="1"/>
  <c r="L18" i="7" s="1"/>
  <c r="P55" i="6"/>
  <c r="P60" i="6" s="1"/>
  <c r="V55" i="6"/>
  <c r="W55" i="6"/>
  <c r="W60" i="6" s="1"/>
  <c r="AF55" i="6"/>
  <c r="AF60" i="6" s="1"/>
  <c r="AH55" i="6"/>
  <c r="AH60" i="6" s="1"/>
  <c r="M12" i="6"/>
  <c r="M20" i="6"/>
  <c r="M27" i="6"/>
  <c r="M33" i="6"/>
  <c r="M41" i="6"/>
  <c r="M47" i="6"/>
  <c r="M19" i="6"/>
  <c r="M22" i="6"/>
  <c r="Q55" i="6"/>
  <c r="Q60" i="6" s="1"/>
  <c r="Q12" i="7" s="1"/>
  <c r="X55" i="6"/>
  <c r="X60" i="6" s="1"/>
  <c r="AA55" i="6"/>
  <c r="D37" i="5"/>
  <c r="E36" i="5"/>
  <c r="F36" i="5"/>
  <c r="R50" i="9" l="1"/>
  <c r="R31" i="7"/>
  <c r="R45" i="7"/>
  <c r="R47" i="7"/>
  <c r="AI8" i="17"/>
  <c r="AI6" i="17"/>
  <c r="X11" i="21"/>
  <c r="AF11" i="21" s="1"/>
  <c r="X12" i="21"/>
  <c r="AF12" i="21" s="1"/>
  <c r="X10" i="21"/>
  <c r="AF10" i="21" s="1"/>
  <c r="X9" i="21"/>
  <c r="AF9" i="21" s="1"/>
  <c r="X56" i="24"/>
  <c r="AF56" i="24"/>
  <c r="BD57" i="23"/>
  <c r="BA57" i="23"/>
  <c r="AK57" i="23"/>
  <c r="AW57" i="23"/>
  <c r="AS57" i="23"/>
  <c r="AO57" i="23"/>
  <c r="AF66" i="24"/>
  <c r="AB66" i="24"/>
  <c r="AF54" i="24"/>
  <c r="AB54" i="24"/>
  <c r="AT93" i="23"/>
  <c r="AU79" i="23"/>
  <c r="AR73" i="23"/>
  <c r="BC73" i="23"/>
  <c r="AH77" i="24"/>
  <c r="AF60" i="24"/>
  <c r="X60" i="24"/>
  <c r="AE48" i="24"/>
  <c r="I8" i="26" s="1"/>
  <c r="AF48" i="24"/>
  <c r="J10" i="26" s="1"/>
  <c r="AB48" i="24"/>
  <c r="X48" i="24"/>
  <c r="B6" i="26" s="1"/>
  <c r="M69" i="6"/>
  <c r="AL85" i="23"/>
  <c r="BC65" i="23"/>
  <c r="AL65" i="23"/>
  <c r="AZ65" i="23"/>
  <c r="AR65" i="23"/>
  <c r="K8" i="25" s="1"/>
  <c r="BD61" i="23"/>
  <c r="AO61" i="23"/>
  <c r="BA61" i="23"/>
  <c r="AK61" i="23"/>
  <c r="AW61" i="23"/>
  <c r="AS61" i="23"/>
  <c r="AF72" i="24"/>
  <c r="AN84" i="23"/>
  <c r="BD76" i="23"/>
  <c r="AY76" i="23"/>
  <c r="AZ69" i="23"/>
  <c r="AJ69" i="23"/>
  <c r="AU69" i="23"/>
  <c r="BC64" i="23"/>
  <c r="AN64" i="23"/>
  <c r="AI64" i="23"/>
  <c r="B8" i="25" s="1"/>
  <c r="BB64" i="23"/>
  <c r="AT64" i="23"/>
  <c r="AH85" i="24"/>
  <c r="AC85" i="24"/>
  <c r="AB74" i="24"/>
  <c r="AE50" i="24"/>
  <c r="AF50" i="24"/>
  <c r="AB50" i="24"/>
  <c r="X50" i="24"/>
  <c r="AM77" i="23"/>
  <c r="AX77" i="23"/>
  <c r="BD60" i="23"/>
  <c r="AS60" i="23"/>
  <c r="AO60" i="23"/>
  <c r="BA60" i="23"/>
  <c r="AK60" i="23"/>
  <c r="AW60" i="23"/>
  <c r="AD73" i="24"/>
  <c r="Z73" i="24"/>
  <c r="AF58" i="24"/>
  <c r="AB58" i="24"/>
  <c r="AH69" i="24"/>
  <c r="M66" i="6"/>
  <c r="M64" i="6" s="1"/>
  <c r="M70" i="6" s="1"/>
  <c r="AF81" i="24"/>
  <c r="AI55" i="6"/>
  <c r="AI60" i="6" s="1"/>
  <c r="AC61" i="24"/>
  <c r="AH61" i="24"/>
  <c r="Z61" i="24"/>
  <c r="AG49" i="24"/>
  <c r="K8" i="26" s="1"/>
  <c r="AH49" i="24"/>
  <c r="AD49" i="24"/>
  <c r="H8" i="26" s="1"/>
  <c r="Z49" i="24"/>
  <c r="AZ75" i="23"/>
  <c r="S6" i="25" s="1"/>
  <c r="AY68" i="23"/>
  <c r="AV68" i="23"/>
  <c r="AL68" i="23"/>
  <c r="AF68" i="24"/>
  <c r="X68" i="24"/>
  <c r="AG53" i="24"/>
  <c r="AD53" i="24"/>
  <c r="Z53" i="24"/>
  <c r="D6" i="26" s="1"/>
  <c r="AH53" i="24"/>
  <c r="AB44" i="10"/>
  <c r="BC81" i="23"/>
  <c r="AR81" i="23"/>
  <c r="AX67" i="23"/>
  <c r="AM67" i="23"/>
  <c r="AK63" i="23"/>
  <c r="D6" i="25" s="1"/>
  <c r="AZ63" i="23"/>
  <c r="S8" i="25" s="1"/>
  <c r="AU63" i="23"/>
  <c r="N8" i="25" s="1"/>
  <c r="AP63" i="23"/>
  <c r="AE52" i="24"/>
  <c r="AF52" i="24"/>
  <c r="AB52" i="24"/>
  <c r="X52" i="24"/>
  <c r="BD88" i="23"/>
  <c r="W6" i="25" s="1"/>
  <c r="AY80" i="23"/>
  <c r="AT80" i="23"/>
  <c r="AN72" i="23"/>
  <c r="AI72" i="23"/>
  <c r="BD72" i="23"/>
  <c r="L6" i="25"/>
  <c r="AC65" i="24"/>
  <c r="AH65" i="24"/>
  <c r="Z65" i="24"/>
  <c r="AC57" i="24"/>
  <c r="AH57" i="24"/>
  <c r="L6" i="26" s="1"/>
  <c r="Z57" i="24"/>
  <c r="AF64" i="24"/>
  <c r="X64" i="24"/>
  <c r="AH78" i="24"/>
  <c r="AF62" i="24"/>
  <c r="J6" i="26" s="1"/>
  <c r="AB62" i="24"/>
  <c r="BD59" i="23"/>
  <c r="W10" i="25" s="1"/>
  <c r="AW59" i="23"/>
  <c r="AS59" i="23"/>
  <c r="AO59" i="23"/>
  <c r="H6" i="25" s="1"/>
  <c r="BA59" i="23"/>
  <c r="T10" i="25" s="1"/>
  <c r="AK59" i="23"/>
  <c r="J8" i="26"/>
  <c r="H6" i="26"/>
  <c r="S10" i="25"/>
  <c r="C10" i="25"/>
  <c r="C6" i="25"/>
  <c r="J6" i="25"/>
  <c r="J10" i="25"/>
  <c r="L10" i="25"/>
  <c r="U10" i="25"/>
  <c r="U6" i="25"/>
  <c r="U8" i="25"/>
  <c r="E10" i="25"/>
  <c r="E6" i="25"/>
  <c r="E8" i="25"/>
  <c r="D10" i="26"/>
  <c r="D8" i="26"/>
  <c r="K10" i="26"/>
  <c r="K6" i="26"/>
  <c r="O10" i="25"/>
  <c r="O6" i="25"/>
  <c r="O8" i="25"/>
  <c r="P6" i="25"/>
  <c r="V6" i="25"/>
  <c r="V10" i="25"/>
  <c r="F10" i="25"/>
  <c r="F6" i="25"/>
  <c r="T6" i="25"/>
  <c r="Q10" i="25"/>
  <c r="Q6" i="25"/>
  <c r="Q8" i="25"/>
  <c r="G10" i="26"/>
  <c r="G6" i="26"/>
  <c r="K10" i="25"/>
  <c r="K6" i="25"/>
  <c r="R10" i="25"/>
  <c r="R6" i="25"/>
  <c r="B6" i="25"/>
  <c r="B10" i="25"/>
  <c r="M10" i="25"/>
  <c r="M6" i="25"/>
  <c r="M8" i="25"/>
  <c r="E6" i="26"/>
  <c r="E10" i="26"/>
  <c r="L10" i="26"/>
  <c r="L8" i="26"/>
  <c r="C10" i="26"/>
  <c r="C6" i="26"/>
  <c r="G10" i="25"/>
  <c r="G6" i="25"/>
  <c r="G8" i="25"/>
  <c r="N6" i="25"/>
  <c r="N10" i="25"/>
  <c r="I10" i="25"/>
  <c r="I6" i="25"/>
  <c r="I8" i="25"/>
  <c r="AO9" i="16"/>
  <c r="AJ9" i="16"/>
  <c r="Z53" i="9"/>
  <c r="R34" i="7"/>
  <c r="M49" i="10"/>
  <c r="O26" i="12"/>
  <c r="O26" i="24" s="1"/>
  <c r="O69" i="24" s="1"/>
  <c r="O26" i="13"/>
  <c r="L18" i="9"/>
  <c r="AD47" i="7"/>
  <c r="AC47" i="9"/>
  <c r="AD47" i="9" s="1"/>
  <c r="Q12" i="9"/>
  <c r="AH20" i="7"/>
  <c r="AH18" i="7"/>
  <c r="AH16" i="7"/>
  <c r="AH14" i="7"/>
  <c r="AH12" i="7"/>
  <c r="AH10" i="7"/>
  <c r="AH8" i="7"/>
  <c r="AH25" i="7"/>
  <c r="AH19" i="7"/>
  <c r="AH17" i="7"/>
  <c r="AH15" i="7"/>
  <c r="AH13" i="7"/>
  <c r="AH11" i="7"/>
  <c r="AH9" i="7"/>
  <c r="AH7" i="7"/>
  <c r="AH5" i="7"/>
  <c r="AH6" i="7"/>
  <c r="AH28" i="7"/>
  <c r="AH44" i="7"/>
  <c r="AH37" i="7"/>
  <c r="AH30" i="7"/>
  <c r="AH46" i="7"/>
  <c r="AH27" i="7"/>
  <c r="AH43" i="7"/>
  <c r="AH32" i="7"/>
  <c r="AH48" i="7"/>
  <c r="AH24" i="7"/>
  <c r="AH41" i="7"/>
  <c r="AH34" i="7"/>
  <c r="AH50" i="7"/>
  <c r="AH31" i="7"/>
  <c r="AH47" i="7"/>
  <c r="AH36" i="7"/>
  <c r="AH29" i="7"/>
  <c r="AH45" i="7"/>
  <c r="AH21" i="7"/>
  <c r="AH38" i="7"/>
  <c r="AH35" i="7"/>
  <c r="AH51" i="7"/>
  <c r="AH23" i="7"/>
  <c r="AH40" i="7"/>
  <c r="P29" i="7"/>
  <c r="P27" i="7"/>
  <c r="P25" i="7"/>
  <c r="P23" i="7"/>
  <c r="P21" i="7"/>
  <c r="P19" i="7"/>
  <c r="P17" i="7"/>
  <c r="P15" i="7"/>
  <c r="P13" i="7"/>
  <c r="P11" i="7"/>
  <c r="P28" i="7"/>
  <c r="P26" i="7"/>
  <c r="P24" i="7"/>
  <c r="P22" i="7"/>
  <c r="P20" i="7"/>
  <c r="P18" i="7"/>
  <c r="P16" i="7"/>
  <c r="P14" i="7"/>
  <c r="P12" i="7"/>
  <c r="P10" i="7"/>
  <c r="P8" i="7"/>
  <c r="P7" i="7"/>
  <c r="P5" i="7"/>
  <c r="P9" i="7"/>
  <c r="P6" i="7"/>
  <c r="P36" i="7"/>
  <c r="P41" i="7"/>
  <c r="P42" i="7"/>
  <c r="P39" i="7"/>
  <c r="P40" i="7"/>
  <c r="P45" i="7"/>
  <c r="P30" i="7"/>
  <c r="P46" i="7"/>
  <c r="P43" i="7"/>
  <c r="P44" i="7"/>
  <c r="P33" i="7"/>
  <c r="P49" i="7"/>
  <c r="P34" i="7"/>
  <c r="P50" i="7"/>
  <c r="P31" i="7"/>
  <c r="P47" i="7"/>
  <c r="P32" i="7"/>
  <c r="P48" i="7"/>
  <c r="P37" i="7"/>
  <c r="O25" i="7"/>
  <c r="O19" i="7"/>
  <c r="O17" i="7"/>
  <c r="O15" i="7"/>
  <c r="O13" i="7"/>
  <c r="O11" i="7"/>
  <c r="O9" i="7"/>
  <c r="O20" i="7"/>
  <c r="O18" i="7"/>
  <c r="O16" i="7"/>
  <c r="O14" i="7"/>
  <c r="O12" i="7"/>
  <c r="O10" i="7"/>
  <c r="O8" i="7"/>
  <c r="O6" i="7"/>
  <c r="O7" i="7"/>
  <c r="O5" i="7"/>
  <c r="O26" i="7"/>
  <c r="O42" i="7"/>
  <c r="O31" i="7"/>
  <c r="O47" i="7"/>
  <c r="O32" i="7"/>
  <c r="O48" i="7"/>
  <c r="O29" i="7"/>
  <c r="O45" i="7"/>
  <c r="O30" i="7"/>
  <c r="O46" i="7"/>
  <c r="O35" i="7"/>
  <c r="O51" i="7"/>
  <c r="O36" i="7"/>
  <c r="O33" i="7"/>
  <c r="O49" i="7"/>
  <c r="O34" i="7"/>
  <c r="O50" i="7"/>
  <c r="O22" i="7"/>
  <c r="O39" i="7"/>
  <c r="O23" i="7"/>
  <c r="O40" i="7"/>
  <c r="O37" i="7"/>
  <c r="O21" i="7"/>
  <c r="O38" i="7"/>
  <c r="O27" i="7"/>
  <c r="O43" i="7"/>
  <c r="AA50" i="8"/>
  <c r="Z50" i="23" s="1"/>
  <c r="Z102" i="23" s="1"/>
  <c r="AA45" i="8"/>
  <c r="Z45" i="23" s="1"/>
  <c r="Z97" i="23" s="1"/>
  <c r="AA42" i="8"/>
  <c r="Z42" i="23" s="1"/>
  <c r="Z94" i="23" s="1"/>
  <c r="AA36" i="8"/>
  <c r="Z36" i="23" s="1"/>
  <c r="Z88" i="23" s="1"/>
  <c r="AA32" i="8"/>
  <c r="Z32" i="23" s="1"/>
  <c r="Z84" i="23" s="1"/>
  <c r="AA47" i="8"/>
  <c r="Z47" i="23" s="1"/>
  <c r="Z99" i="23" s="1"/>
  <c r="AA44" i="8"/>
  <c r="Z44" i="23" s="1"/>
  <c r="Z96" i="23" s="1"/>
  <c r="AA49" i="8"/>
  <c r="Z49" i="23" s="1"/>
  <c r="Z101" i="23" s="1"/>
  <c r="AA46" i="8"/>
  <c r="Z46" i="23" s="1"/>
  <c r="Z98" i="23" s="1"/>
  <c r="AA41" i="8"/>
  <c r="Z41" i="23" s="1"/>
  <c r="Z93" i="23" s="1"/>
  <c r="AA38" i="8"/>
  <c r="Z38" i="23" s="1"/>
  <c r="Z90" i="23" s="1"/>
  <c r="AA34" i="8"/>
  <c r="Z34" i="23" s="1"/>
  <c r="Z86" i="23" s="1"/>
  <c r="AA51" i="8"/>
  <c r="Z51" i="23" s="1"/>
  <c r="Z103" i="23" s="1"/>
  <c r="AA48" i="8"/>
  <c r="Z48" i="23" s="1"/>
  <c r="Z100" i="23" s="1"/>
  <c r="AA35" i="8"/>
  <c r="Z35" i="23" s="1"/>
  <c r="Z87" i="23" s="1"/>
  <c r="AA26" i="8"/>
  <c r="Z26" i="23" s="1"/>
  <c r="Z78" i="23" s="1"/>
  <c r="AA21" i="8"/>
  <c r="Z21" i="23" s="1"/>
  <c r="Z73" i="23" s="1"/>
  <c r="AA19" i="8"/>
  <c r="Z19" i="23" s="1"/>
  <c r="Z71" i="23" s="1"/>
  <c r="AA14" i="8"/>
  <c r="Z14" i="23" s="1"/>
  <c r="Z66" i="23" s="1"/>
  <c r="AA12" i="8"/>
  <c r="Z12" i="23" s="1"/>
  <c r="Z64" i="23" s="1"/>
  <c r="AA10" i="8"/>
  <c r="Z10" i="23" s="1"/>
  <c r="Z62" i="23" s="1"/>
  <c r="AA8" i="8"/>
  <c r="Z8" i="23" s="1"/>
  <c r="Z60" i="23" s="1"/>
  <c r="AA6" i="8"/>
  <c r="Z6" i="23" s="1"/>
  <c r="Z58" i="23" s="1"/>
  <c r="AA43" i="8"/>
  <c r="Z43" i="23" s="1"/>
  <c r="Z95" i="23" s="1"/>
  <c r="AA33" i="8"/>
  <c r="Z33" i="23" s="1"/>
  <c r="Z85" i="23" s="1"/>
  <c r="AA28" i="8"/>
  <c r="Z28" i="23" s="1"/>
  <c r="Z80" i="23" s="1"/>
  <c r="AA25" i="8"/>
  <c r="Z25" i="23" s="1"/>
  <c r="Z77" i="23" s="1"/>
  <c r="AA23" i="8"/>
  <c r="Z23" i="23" s="1"/>
  <c r="Z75" i="23" s="1"/>
  <c r="AA18" i="8"/>
  <c r="Z18" i="23" s="1"/>
  <c r="Z70" i="23" s="1"/>
  <c r="AA16" i="8"/>
  <c r="Z16" i="23" s="1"/>
  <c r="Z68" i="23" s="1"/>
  <c r="AA40" i="8"/>
  <c r="Z40" i="23" s="1"/>
  <c r="Z92" i="23" s="1"/>
  <c r="AA39" i="8"/>
  <c r="Z39" i="23" s="1"/>
  <c r="Z91" i="23" s="1"/>
  <c r="AA31" i="8"/>
  <c r="Z31" i="23" s="1"/>
  <c r="Z83" i="23" s="1"/>
  <c r="AA27" i="8"/>
  <c r="Z27" i="23" s="1"/>
  <c r="Z79" i="23" s="1"/>
  <c r="AA22" i="8"/>
  <c r="Z22" i="23" s="1"/>
  <c r="Z74" i="23" s="1"/>
  <c r="AA20" i="8"/>
  <c r="Z20" i="23" s="1"/>
  <c r="Z72" i="23" s="1"/>
  <c r="AA13" i="8"/>
  <c r="Z13" i="23" s="1"/>
  <c r="Z65" i="23" s="1"/>
  <c r="AA11" i="8"/>
  <c r="Z11" i="23" s="1"/>
  <c r="Z63" i="23" s="1"/>
  <c r="AA9" i="8"/>
  <c r="Z9" i="23" s="1"/>
  <c r="Z61" i="23" s="1"/>
  <c r="AA7" i="8"/>
  <c r="Z7" i="23" s="1"/>
  <c r="Z59" i="23" s="1"/>
  <c r="AA5" i="8"/>
  <c r="Z5" i="23" s="1"/>
  <c r="Z57" i="23" s="1"/>
  <c r="P9" i="25" s="1"/>
  <c r="AA37" i="8"/>
  <c r="Z37" i="23" s="1"/>
  <c r="Z89" i="23" s="1"/>
  <c r="AA30" i="8"/>
  <c r="Z30" i="23" s="1"/>
  <c r="Z82" i="23" s="1"/>
  <c r="AA29" i="8"/>
  <c r="Z29" i="23" s="1"/>
  <c r="Z81" i="23" s="1"/>
  <c r="AA24" i="8"/>
  <c r="Z24" i="23" s="1"/>
  <c r="Z76" i="23" s="1"/>
  <c r="AA17" i="8"/>
  <c r="Z17" i="23" s="1"/>
  <c r="Z69" i="23" s="1"/>
  <c r="AA15" i="8"/>
  <c r="Z15" i="23" s="1"/>
  <c r="Z67" i="23" s="1"/>
  <c r="U16" i="11"/>
  <c r="U9" i="11"/>
  <c r="U7" i="11"/>
  <c r="U5" i="11"/>
  <c r="U8" i="11"/>
  <c r="U6" i="11"/>
  <c r="U11" i="11"/>
  <c r="U10" i="11"/>
  <c r="U26" i="11"/>
  <c r="U23" i="11"/>
  <c r="U39" i="11"/>
  <c r="U24" i="11"/>
  <c r="U40" i="11"/>
  <c r="U17" i="11"/>
  <c r="U33" i="11"/>
  <c r="U13" i="11"/>
  <c r="U30" i="11"/>
  <c r="U34" i="11"/>
  <c r="U27" i="11"/>
  <c r="U28" i="11"/>
  <c r="U21" i="11"/>
  <c r="U37" i="11"/>
  <c r="U18" i="11"/>
  <c r="U38" i="11"/>
  <c r="U14" i="11"/>
  <c r="U31" i="11"/>
  <c r="U32" i="11"/>
  <c r="U25" i="11"/>
  <c r="U41" i="11"/>
  <c r="M11" i="11"/>
  <c r="M16" i="11"/>
  <c r="M10" i="11"/>
  <c r="M8" i="11"/>
  <c r="M6" i="11"/>
  <c r="M9" i="11"/>
  <c r="M7" i="11"/>
  <c r="M5" i="11"/>
  <c r="M20" i="11"/>
  <c r="M36" i="11"/>
  <c r="M25" i="11"/>
  <c r="M19" i="11"/>
  <c r="M35" i="11"/>
  <c r="M13" i="11"/>
  <c r="M30" i="11"/>
  <c r="M39" i="11"/>
  <c r="M24" i="11"/>
  <c r="M40" i="11"/>
  <c r="M12" i="11"/>
  <c r="M29" i="11"/>
  <c r="M23" i="11"/>
  <c r="M18" i="11"/>
  <c r="M34" i="11"/>
  <c r="M33" i="11"/>
  <c r="M28" i="11"/>
  <c r="M17" i="11"/>
  <c r="M27" i="11"/>
  <c r="M22" i="11"/>
  <c r="M38" i="11"/>
  <c r="M37" i="11"/>
  <c r="V48" i="12"/>
  <c r="U48" i="12"/>
  <c r="O48" i="12"/>
  <c r="U12" i="11"/>
  <c r="O33" i="11"/>
  <c r="T48" i="11"/>
  <c r="M42" i="11"/>
  <c r="M21" i="11"/>
  <c r="O36" i="11"/>
  <c r="M32" i="11"/>
  <c r="AH39" i="7"/>
  <c r="O41" i="7"/>
  <c r="AH26" i="7"/>
  <c r="Q40" i="7"/>
  <c r="O28" i="7"/>
  <c r="F37" i="5"/>
  <c r="R47" i="13"/>
  <c r="R47" i="12"/>
  <c r="R47" i="10"/>
  <c r="R47" i="11"/>
  <c r="AC25" i="7"/>
  <c r="AC19" i="7"/>
  <c r="AC17" i="7"/>
  <c r="AC15" i="7"/>
  <c r="AC13" i="7"/>
  <c r="AC11" i="7"/>
  <c r="AC9" i="7"/>
  <c r="AC20" i="7"/>
  <c r="AC18" i="7"/>
  <c r="AC16" i="7"/>
  <c r="AC14" i="7"/>
  <c r="AC12" i="7"/>
  <c r="AC10" i="7"/>
  <c r="AC8" i="7"/>
  <c r="AC6" i="7"/>
  <c r="AC7" i="7"/>
  <c r="AC5" i="7"/>
  <c r="AC26" i="7"/>
  <c r="AC42" i="7"/>
  <c r="AC35" i="7"/>
  <c r="AC51" i="7"/>
  <c r="AC28" i="7"/>
  <c r="AC44" i="7"/>
  <c r="AC24" i="7"/>
  <c r="AC41" i="7"/>
  <c r="AC30" i="7"/>
  <c r="AC46" i="7"/>
  <c r="AC22" i="7"/>
  <c r="AC39" i="7"/>
  <c r="AC32" i="7"/>
  <c r="AC48" i="7"/>
  <c r="AC29" i="7"/>
  <c r="AC45" i="7"/>
  <c r="AC34" i="7"/>
  <c r="AC50" i="7"/>
  <c r="AC27" i="7"/>
  <c r="AC43" i="7"/>
  <c r="AC36" i="7"/>
  <c r="AC33" i="7"/>
  <c r="AC49" i="7"/>
  <c r="AC21" i="7"/>
  <c r="AC38" i="7"/>
  <c r="AA53" i="9"/>
  <c r="R11" i="11"/>
  <c r="R16" i="11"/>
  <c r="R10" i="11"/>
  <c r="R8" i="11"/>
  <c r="R6" i="11"/>
  <c r="R9" i="11"/>
  <c r="R7" i="11"/>
  <c r="R5" i="11"/>
  <c r="R17" i="11"/>
  <c r="R22" i="11"/>
  <c r="R38" i="11"/>
  <c r="R19" i="11"/>
  <c r="R35" i="11"/>
  <c r="R32" i="11"/>
  <c r="R15" i="11"/>
  <c r="R21" i="11"/>
  <c r="R26" i="11"/>
  <c r="R42" i="11"/>
  <c r="R23" i="11"/>
  <c r="R39" i="11"/>
  <c r="R36" i="11"/>
  <c r="R33" i="11"/>
  <c r="R20" i="11"/>
  <c r="R25" i="11"/>
  <c r="R13" i="11"/>
  <c r="R30" i="11"/>
  <c r="R27" i="11"/>
  <c r="R24" i="11"/>
  <c r="R40" i="11"/>
  <c r="R37" i="11"/>
  <c r="N48" i="11"/>
  <c r="N48" i="12"/>
  <c r="R41" i="11"/>
  <c r="O17" i="11"/>
  <c r="O42" i="11"/>
  <c r="M26" i="11"/>
  <c r="O23" i="11"/>
  <c r="U15" i="11"/>
  <c r="O20" i="11"/>
  <c r="M15" i="11"/>
  <c r="AH22" i="7"/>
  <c r="S49" i="7"/>
  <c r="Q37" i="7"/>
  <c r="O24" i="7"/>
  <c r="AC40" i="7"/>
  <c r="S36" i="7"/>
  <c r="L42" i="7"/>
  <c r="AC31" i="7"/>
  <c r="W51" i="7"/>
  <c r="W49" i="7"/>
  <c r="W47" i="7"/>
  <c r="W46" i="7"/>
  <c r="W34" i="7"/>
  <c r="W32" i="7"/>
  <c r="W30" i="7"/>
  <c r="W28" i="7"/>
  <c r="W26" i="7"/>
  <c r="W24" i="7"/>
  <c r="W22" i="7"/>
  <c r="W20" i="7"/>
  <c r="W18" i="7"/>
  <c r="W16" i="7"/>
  <c r="W14" i="7"/>
  <c r="W12" i="7"/>
  <c r="W45" i="7"/>
  <c r="W43" i="7"/>
  <c r="W41" i="7"/>
  <c r="W39" i="7"/>
  <c r="W37" i="7"/>
  <c r="W50" i="7"/>
  <c r="W35" i="7"/>
  <c r="W33" i="7"/>
  <c r="W31" i="7"/>
  <c r="W29" i="7"/>
  <c r="W27" i="7"/>
  <c r="W25" i="7"/>
  <c r="W23" i="7"/>
  <c r="W21" i="7"/>
  <c r="W19" i="7"/>
  <c r="W17" i="7"/>
  <c r="W15" i="7"/>
  <c r="W13" i="7"/>
  <c r="W11" i="7"/>
  <c r="W48" i="7"/>
  <c r="W44" i="7"/>
  <c r="W42" i="7"/>
  <c r="W40" i="7"/>
  <c r="W38" i="7"/>
  <c r="W36" i="7"/>
  <c r="W10" i="7"/>
  <c r="W8" i="7"/>
  <c r="W6" i="7"/>
  <c r="W9" i="7"/>
  <c r="W7" i="7"/>
  <c r="W5" i="7"/>
  <c r="U50" i="7"/>
  <c r="U48" i="7"/>
  <c r="U46" i="7"/>
  <c r="U51" i="7"/>
  <c r="U35" i="7"/>
  <c r="U33" i="7"/>
  <c r="U31" i="7"/>
  <c r="U29" i="7"/>
  <c r="U27" i="7"/>
  <c r="U25" i="7"/>
  <c r="U23" i="7"/>
  <c r="U21" i="7"/>
  <c r="U19" i="7"/>
  <c r="U17" i="7"/>
  <c r="U15" i="7"/>
  <c r="U13" i="7"/>
  <c r="U11" i="7"/>
  <c r="U49" i="7"/>
  <c r="U44" i="7"/>
  <c r="U42" i="7"/>
  <c r="U40" i="7"/>
  <c r="U38" i="7"/>
  <c r="U36" i="7"/>
  <c r="U47" i="7"/>
  <c r="U34" i="7"/>
  <c r="U32" i="7"/>
  <c r="U30" i="7"/>
  <c r="U28" i="7"/>
  <c r="U26" i="7"/>
  <c r="U24" i="7"/>
  <c r="U22" i="7"/>
  <c r="U20" i="7"/>
  <c r="U18" i="7"/>
  <c r="U16" i="7"/>
  <c r="U14" i="7"/>
  <c r="U12" i="7"/>
  <c r="U10" i="7"/>
  <c r="U45" i="7"/>
  <c r="U43" i="7"/>
  <c r="U41" i="7"/>
  <c r="U39" i="7"/>
  <c r="U37" i="7"/>
  <c r="U9" i="7"/>
  <c r="U7" i="7"/>
  <c r="U5" i="7"/>
  <c r="U8" i="7"/>
  <c r="U6" i="7"/>
  <c r="Z51" i="8"/>
  <c r="Y51" i="23" s="1"/>
  <c r="Y103" i="23" s="1"/>
  <c r="Z48" i="8"/>
  <c r="Y48" i="23" s="1"/>
  <c r="Y100" i="23" s="1"/>
  <c r="Z43" i="8"/>
  <c r="Y43" i="23" s="1"/>
  <c r="Y95" i="23" s="1"/>
  <c r="Z40" i="8"/>
  <c r="Y40" i="23" s="1"/>
  <c r="Y92" i="23" s="1"/>
  <c r="Z37" i="8"/>
  <c r="Y37" i="23" s="1"/>
  <c r="Y89" i="23" s="1"/>
  <c r="Z33" i="8"/>
  <c r="Y33" i="23" s="1"/>
  <c r="Y85" i="23" s="1"/>
  <c r="Z30" i="8"/>
  <c r="Y30" i="23" s="1"/>
  <c r="Y82" i="23" s="1"/>
  <c r="Z28" i="8"/>
  <c r="Y28" i="23" s="1"/>
  <c r="Y80" i="23" s="1"/>
  <c r="Z26" i="8"/>
  <c r="Y26" i="23" s="1"/>
  <c r="Y78" i="23" s="1"/>
  <c r="Z24" i="8"/>
  <c r="Y24" i="23" s="1"/>
  <c r="Y76" i="23" s="1"/>
  <c r="Z50" i="8"/>
  <c r="Y50" i="23" s="1"/>
  <c r="Y102" i="23" s="1"/>
  <c r="Z45" i="8"/>
  <c r="Y45" i="23" s="1"/>
  <c r="Y97" i="23" s="1"/>
  <c r="Z42" i="8"/>
  <c r="Y42" i="23" s="1"/>
  <c r="Y94" i="23" s="1"/>
  <c r="Z47" i="8"/>
  <c r="Y47" i="23" s="1"/>
  <c r="Y99" i="23" s="1"/>
  <c r="Z44" i="8"/>
  <c r="Y44" i="23" s="1"/>
  <c r="Y96" i="23" s="1"/>
  <c r="Z39" i="8"/>
  <c r="Y39" i="23" s="1"/>
  <c r="Y91" i="23" s="1"/>
  <c r="Z35" i="8"/>
  <c r="Y35" i="23" s="1"/>
  <c r="Y87" i="23" s="1"/>
  <c r="Z31" i="8"/>
  <c r="Y31" i="23" s="1"/>
  <c r="Y83" i="23" s="1"/>
  <c r="Z49" i="8"/>
  <c r="Y49" i="23" s="1"/>
  <c r="Y101" i="23" s="1"/>
  <c r="Z46" i="8"/>
  <c r="Y46" i="23" s="1"/>
  <c r="Y98" i="23" s="1"/>
  <c r="Z36" i="8"/>
  <c r="Y36" i="23" s="1"/>
  <c r="Y88" i="23" s="1"/>
  <c r="Z29" i="8"/>
  <c r="Y29" i="23" s="1"/>
  <c r="Y81" i="23" s="1"/>
  <c r="Z17" i="8"/>
  <c r="Y17" i="23" s="1"/>
  <c r="Y69" i="23" s="1"/>
  <c r="Z15" i="8"/>
  <c r="Y15" i="23" s="1"/>
  <c r="Y67" i="23" s="1"/>
  <c r="Z34" i="8"/>
  <c r="Y34" i="23" s="1"/>
  <c r="Y86" i="23" s="1"/>
  <c r="Z21" i="8"/>
  <c r="Y21" i="23" s="1"/>
  <c r="Y73" i="23" s="1"/>
  <c r="Z19" i="8"/>
  <c r="Y19" i="23" s="1"/>
  <c r="Y71" i="23" s="1"/>
  <c r="Z14" i="8"/>
  <c r="Y14" i="23" s="1"/>
  <c r="Y66" i="23" s="1"/>
  <c r="Z41" i="8"/>
  <c r="Y41" i="23" s="1"/>
  <c r="Y93" i="23" s="1"/>
  <c r="Z32" i="8"/>
  <c r="Y32" i="23" s="1"/>
  <c r="Y84" i="23" s="1"/>
  <c r="Z25" i="8"/>
  <c r="Y25" i="23" s="1"/>
  <c r="Y77" i="23" s="1"/>
  <c r="Z23" i="8"/>
  <c r="Y23" i="23" s="1"/>
  <c r="Y75" i="23" s="1"/>
  <c r="Z18" i="8"/>
  <c r="Y18" i="23" s="1"/>
  <c r="Y70" i="23" s="1"/>
  <c r="Z16" i="8"/>
  <c r="Y16" i="23" s="1"/>
  <c r="Y68" i="23" s="1"/>
  <c r="Z38" i="8"/>
  <c r="Y38" i="23" s="1"/>
  <c r="Y90" i="23" s="1"/>
  <c r="Z27" i="8"/>
  <c r="Y27" i="23" s="1"/>
  <c r="Y79" i="23" s="1"/>
  <c r="Z22" i="8"/>
  <c r="Y22" i="23" s="1"/>
  <c r="Y74" i="23" s="1"/>
  <c r="Z20" i="8"/>
  <c r="Y20" i="23" s="1"/>
  <c r="Y72" i="23" s="1"/>
  <c r="Z13" i="8"/>
  <c r="Y13" i="23" s="1"/>
  <c r="Y65" i="23" s="1"/>
  <c r="Z11" i="8"/>
  <c r="Y11" i="23" s="1"/>
  <c r="Y63" i="23" s="1"/>
  <c r="Z9" i="8"/>
  <c r="Y9" i="23" s="1"/>
  <c r="Y61" i="23" s="1"/>
  <c r="Z7" i="8"/>
  <c r="Y7" i="23" s="1"/>
  <c r="Y59" i="23" s="1"/>
  <c r="Z5" i="8"/>
  <c r="Y5" i="23" s="1"/>
  <c r="Y57" i="23" s="1"/>
  <c r="O11" i="25" s="1"/>
  <c r="Z12" i="8"/>
  <c r="Y12" i="23" s="1"/>
  <c r="Y64" i="23" s="1"/>
  <c r="Z10" i="8"/>
  <c r="Y10" i="23" s="1"/>
  <c r="Y62" i="23" s="1"/>
  <c r="Z8" i="8"/>
  <c r="Y8" i="23" s="1"/>
  <c r="Y60" i="23" s="1"/>
  <c r="Z6" i="8"/>
  <c r="Y6" i="23" s="1"/>
  <c r="Y58" i="23" s="1"/>
  <c r="U36" i="11"/>
  <c r="R28" i="11"/>
  <c r="U35" i="11"/>
  <c r="R31" i="11"/>
  <c r="R34" i="11"/>
  <c r="M31" i="11"/>
  <c r="R29" i="11"/>
  <c r="AC37" i="7"/>
  <c r="P51" i="7"/>
  <c r="L39" i="7"/>
  <c r="AC23" i="7"/>
  <c r="P38" i="7"/>
  <c r="AH49" i="7"/>
  <c r="S45" i="13"/>
  <c r="S45" i="12"/>
  <c r="S45" i="11"/>
  <c r="S45" i="10"/>
  <c r="L28" i="7"/>
  <c r="L26" i="7"/>
  <c r="L24" i="7"/>
  <c r="L22" i="7"/>
  <c r="L16" i="7"/>
  <c r="L14" i="7"/>
  <c r="L10" i="7"/>
  <c r="L29" i="7"/>
  <c r="L27" i="7"/>
  <c r="L23" i="7"/>
  <c r="L21" i="7"/>
  <c r="L15" i="7"/>
  <c r="L13" i="7"/>
  <c r="L9" i="7"/>
  <c r="L5" i="7"/>
  <c r="L8" i="7"/>
  <c r="L6" i="7"/>
  <c r="L12" i="7"/>
  <c r="L40" i="7"/>
  <c r="L25" i="7"/>
  <c r="L45" i="7"/>
  <c r="L30" i="7"/>
  <c r="L46" i="7"/>
  <c r="L19" i="7"/>
  <c r="L43" i="7"/>
  <c r="L7" i="7"/>
  <c r="L20" i="7"/>
  <c r="L44" i="7"/>
  <c r="L33" i="7"/>
  <c r="L49" i="7"/>
  <c r="L34" i="7"/>
  <c r="L50" i="7"/>
  <c r="L31" i="7"/>
  <c r="L47" i="7"/>
  <c r="L32" i="7"/>
  <c r="L48" i="7"/>
  <c r="L37" i="7"/>
  <c r="L38" i="7"/>
  <c r="L35" i="7"/>
  <c r="L51" i="7"/>
  <c r="L36" i="7"/>
  <c r="L17" i="7"/>
  <c r="L41" i="7"/>
  <c r="E37" i="5"/>
  <c r="R46" i="13"/>
  <c r="R46" i="12"/>
  <c r="R46" i="11"/>
  <c r="R46" i="10"/>
  <c r="X51" i="7"/>
  <c r="X49" i="7"/>
  <c r="X47" i="7"/>
  <c r="X45" i="7"/>
  <c r="X43" i="7"/>
  <c r="X41" i="7"/>
  <c r="X39" i="7"/>
  <c r="X37" i="7"/>
  <c r="X50" i="7"/>
  <c r="X35" i="7"/>
  <c r="X33" i="7"/>
  <c r="X31" i="7"/>
  <c r="X29" i="7"/>
  <c r="X27" i="7"/>
  <c r="X25" i="7"/>
  <c r="X23" i="7"/>
  <c r="X21" i="7"/>
  <c r="X19" i="7"/>
  <c r="X17" i="7"/>
  <c r="X15" i="7"/>
  <c r="X13" i="7"/>
  <c r="X11" i="7"/>
  <c r="X9" i="7"/>
  <c r="X48" i="7"/>
  <c r="X44" i="7"/>
  <c r="X42" i="7"/>
  <c r="X40" i="7"/>
  <c r="X38" i="7"/>
  <c r="X36" i="7"/>
  <c r="X46" i="7"/>
  <c r="X34" i="7"/>
  <c r="X32" i="7"/>
  <c r="X30" i="7"/>
  <c r="X28" i="7"/>
  <c r="X26" i="7"/>
  <c r="X24" i="7"/>
  <c r="X22" i="7"/>
  <c r="X20" i="7"/>
  <c r="X18" i="7"/>
  <c r="X16" i="7"/>
  <c r="X14" i="7"/>
  <c r="X12" i="7"/>
  <c r="X10" i="7"/>
  <c r="X8" i="7"/>
  <c r="X6" i="7"/>
  <c r="X7" i="7"/>
  <c r="X5" i="7"/>
  <c r="D30" i="5"/>
  <c r="Q28" i="7"/>
  <c r="Q26" i="7"/>
  <c r="Q24" i="7"/>
  <c r="Q22" i="7"/>
  <c r="Q16" i="7"/>
  <c r="Q14" i="7"/>
  <c r="Q10" i="7"/>
  <c r="Q8" i="7"/>
  <c r="Q29" i="7"/>
  <c r="Q27" i="7"/>
  <c r="Q23" i="7"/>
  <c r="Q21" i="7"/>
  <c r="Q15" i="7"/>
  <c r="Q13" i="7"/>
  <c r="Q9" i="7"/>
  <c r="Q5" i="7"/>
  <c r="Q6" i="7"/>
  <c r="Q18" i="7"/>
  <c r="Q42" i="7"/>
  <c r="Q19" i="7"/>
  <c r="Q43" i="7"/>
  <c r="Q20" i="7"/>
  <c r="Q44" i="7"/>
  <c r="Q17" i="7"/>
  <c r="Q41" i="7"/>
  <c r="Q30" i="7"/>
  <c r="Q46" i="7"/>
  <c r="Q31" i="7"/>
  <c r="Q47" i="7"/>
  <c r="Q32" i="7"/>
  <c r="Q48" i="7"/>
  <c r="Q25" i="7"/>
  <c r="Q45" i="7"/>
  <c r="Q7" i="7"/>
  <c r="Q34" i="7"/>
  <c r="Q50" i="7"/>
  <c r="Q35" i="7"/>
  <c r="Q51" i="7"/>
  <c r="Q36" i="7"/>
  <c r="Q33" i="7"/>
  <c r="Q49" i="7"/>
  <c r="Q38" i="7"/>
  <c r="Q11" i="7"/>
  <c r="Q39" i="7"/>
  <c r="S25" i="7"/>
  <c r="S19" i="7"/>
  <c r="S17" i="7"/>
  <c r="S15" i="7"/>
  <c r="S13" i="7"/>
  <c r="S11" i="7"/>
  <c r="S9" i="7"/>
  <c r="S20" i="7"/>
  <c r="S18" i="7"/>
  <c r="S16" i="7"/>
  <c r="S14" i="7"/>
  <c r="S12" i="7"/>
  <c r="S10" i="7"/>
  <c r="S8" i="7"/>
  <c r="S6" i="7"/>
  <c r="S7" i="7"/>
  <c r="S5" i="7"/>
  <c r="S21" i="7"/>
  <c r="S38" i="7"/>
  <c r="S35" i="7"/>
  <c r="S51" i="7"/>
  <c r="S23" i="7"/>
  <c r="S40" i="7"/>
  <c r="S37" i="7"/>
  <c r="S26" i="7"/>
  <c r="S42" i="7"/>
  <c r="S22" i="7"/>
  <c r="S39" i="7"/>
  <c r="S28" i="7"/>
  <c r="S44" i="7"/>
  <c r="S24" i="7"/>
  <c r="S41" i="7"/>
  <c r="S30" i="7"/>
  <c r="S46" i="7"/>
  <c r="S27" i="7"/>
  <c r="S43" i="7"/>
  <c r="S32" i="7"/>
  <c r="S48" i="7"/>
  <c r="S29" i="7"/>
  <c r="S45" i="7"/>
  <c r="S34" i="7"/>
  <c r="S50" i="7"/>
  <c r="S31" i="7"/>
  <c r="S47" i="7"/>
  <c r="O16" i="11"/>
  <c r="O9" i="11"/>
  <c r="O7" i="11"/>
  <c r="O5" i="11"/>
  <c r="O11" i="11"/>
  <c r="O10" i="11"/>
  <c r="O8" i="11"/>
  <c r="O6" i="11"/>
  <c r="O24" i="11"/>
  <c r="O40" i="11"/>
  <c r="O27" i="11"/>
  <c r="O13" i="11"/>
  <c r="O30" i="11"/>
  <c r="O14" i="11"/>
  <c r="O21" i="11"/>
  <c r="O37" i="11"/>
  <c r="O28" i="11"/>
  <c r="O31" i="11"/>
  <c r="O18" i="11"/>
  <c r="O34" i="11"/>
  <c r="O35" i="11"/>
  <c r="O25" i="11"/>
  <c r="O41" i="11"/>
  <c r="O15" i="11"/>
  <c r="O32" i="11"/>
  <c r="O19" i="11"/>
  <c r="O22" i="11"/>
  <c r="O38" i="11"/>
  <c r="O39" i="11"/>
  <c r="O12" i="11"/>
  <c r="O29" i="11"/>
  <c r="M48" i="12"/>
  <c r="P48" i="12"/>
  <c r="U29" i="11"/>
  <c r="M41" i="11"/>
  <c r="U20" i="11"/>
  <c r="U19" i="11"/>
  <c r="R14" i="11"/>
  <c r="U42" i="11"/>
  <c r="R18" i="11"/>
  <c r="M14" i="11"/>
  <c r="U22" i="11"/>
  <c r="R12" i="11"/>
  <c r="U30" i="9"/>
  <c r="P35" i="7"/>
  <c r="L11" i="7"/>
  <c r="AH42" i="7"/>
  <c r="O44" i="7"/>
  <c r="AH33" i="7"/>
  <c r="R28" i="7"/>
  <c r="R26" i="7"/>
  <c r="R24" i="7"/>
  <c r="R22" i="7"/>
  <c r="R20" i="7"/>
  <c r="R18" i="7"/>
  <c r="R16" i="7"/>
  <c r="R14" i="7"/>
  <c r="R12" i="7"/>
  <c r="R29" i="7"/>
  <c r="R27" i="7"/>
  <c r="R25" i="7"/>
  <c r="R23" i="7"/>
  <c r="R21" i="7"/>
  <c r="R19" i="7"/>
  <c r="R17" i="7"/>
  <c r="R15" i="7"/>
  <c r="R13" i="7"/>
  <c r="R11" i="7"/>
  <c r="R10" i="7"/>
  <c r="R9" i="7"/>
  <c r="R6" i="7"/>
  <c r="R8" i="7"/>
  <c r="R7" i="7"/>
  <c r="R5" i="7"/>
  <c r="R48" i="7"/>
  <c r="R32" i="7"/>
  <c r="AH58" i="8"/>
  <c r="R43" i="7"/>
  <c r="R46" i="7"/>
  <c r="R30" i="7"/>
  <c r="Z48" i="11"/>
  <c r="R41" i="7"/>
  <c r="AB56" i="9"/>
  <c r="AB56" i="8"/>
  <c r="AB56" i="7"/>
  <c r="AB58" i="6"/>
  <c r="R44" i="7"/>
  <c r="R49" i="11"/>
  <c r="R48" i="11" s="1"/>
  <c r="R39" i="7"/>
  <c r="R42" i="7"/>
  <c r="R37" i="7"/>
  <c r="R40" i="7"/>
  <c r="AL55" i="9"/>
  <c r="AL55" i="8"/>
  <c r="AL55" i="7"/>
  <c r="AL57" i="6"/>
  <c r="R51" i="7"/>
  <c r="R35" i="7"/>
  <c r="R38" i="7"/>
  <c r="R49" i="7"/>
  <c r="R33" i="7"/>
  <c r="R36" i="7"/>
  <c r="AL56" i="9"/>
  <c r="AL56" i="8"/>
  <c r="AL58" i="6"/>
  <c r="AL56" i="7"/>
  <c r="R49" i="12"/>
  <c r="R48" i="12" s="1"/>
  <c r="AB54" i="8"/>
  <c r="AB54" i="9"/>
  <c r="AB54" i="7"/>
  <c r="Z49" i="10"/>
  <c r="P49" i="10"/>
  <c r="V49" i="10"/>
  <c r="N49" i="10"/>
  <c r="T49" i="10"/>
  <c r="M55" i="6"/>
  <c r="M60" i="6" s="1"/>
  <c r="M33" i="7" s="1"/>
  <c r="Y56" i="6"/>
  <c r="V60" i="6"/>
  <c r="V56" i="6"/>
  <c r="D4" i="5"/>
  <c r="N56" i="6" s="1"/>
  <c r="D35" i="5"/>
  <c r="R34" i="9" l="1"/>
  <c r="O7" i="25"/>
  <c r="AI7" i="7"/>
  <c r="AI49" i="7"/>
  <c r="AI32" i="7"/>
  <c r="AI24" i="7"/>
  <c r="AI16" i="7"/>
  <c r="AI45" i="7"/>
  <c r="AI37" i="7"/>
  <c r="AI31" i="7"/>
  <c r="AI23" i="7"/>
  <c r="AI15" i="7"/>
  <c r="AI44" i="7"/>
  <c r="AI36" i="7"/>
  <c r="AI50" i="7"/>
  <c r="AI28" i="7"/>
  <c r="AI51" i="7"/>
  <c r="AI34" i="7"/>
  <c r="AI26" i="7"/>
  <c r="AI18" i="7"/>
  <c r="AI48" i="7"/>
  <c r="AI39" i="7"/>
  <c r="AI33" i="7"/>
  <c r="AI25" i="7"/>
  <c r="AI17" i="7"/>
  <c r="AI9" i="7"/>
  <c r="AI38" i="7"/>
  <c r="AI10" i="7"/>
  <c r="AI47" i="7"/>
  <c r="AI14" i="7"/>
  <c r="AI35" i="7"/>
  <c r="AI21" i="7"/>
  <c r="AI42" i="7"/>
  <c r="AI30" i="7"/>
  <c r="AI12" i="7"/>
  <c r="AI46" i="7"/>
  <c r="AI19" i="7"/>
  <c r="AI40" i="7"/>
  <c r="AI5" i="7"/>
  <c r="AI22" i="7"/>
  <c r="AI43" i="7"/>
  <c r="AI29" i="7"/>
  <c r="AI13" i="7"/>
  <c r="AI6" i="7"/>
  <c r="AI8" i="7"/>
  <c r="AI20" i="7"/>
  <c r="AI41" i="7"/>
  <c r="AI27" i="7"/>
  <c r="AI11" i="7"/>
  <c r="F8" i="26"/>
  <c r="F10" i="26"/>
  <c r="L8" i="25"/>
  <c r="D8" i="25"/>
  <c r="B10" i="26"/>
  <c r="R47" i="9"/>
  <c r="R31" i="9"/>
  <c r="P7" i="25"/>
  <c r="H10" i="26"/>
  <c r="T8" i="25"/>
  <c r="I6" i="26"/>
  <c r="R45" i="9"/>
  <c r="P11" i="25"/>
  <c r="H10" i="25"/>
  <c r="H8" i="25"/>
  <c r="P8" i="25"/>
  <c r="W8" i="25"/>
  <c r="D10" i="25"/>
  <c r="F6" i="26"/>
  <c r="M6" i="26" s="1"/>
  <c r="F30" i="5"/>
  <c r="O9" i="25"/>
  <c r="V8" i="25"/>
  <c r="B8" i="26"/>
  <c r="M8" i="26" s="1"/>
  <c r="P10" i="25"/>
  <c r="I10" i="26"/>
  <c r="X10" i="25"/>
  <c r="X6" i="25"/>
  <c r="M33" i="9"/>
  <c r="F35" i="5"/>
  <c r="L47" i="13"/>
  <c r="L47" i="12"/>
  <c r="L47" i="10"/>
  <c r="L47" i="11"/>
  <c r="T16" i="11"/>
  <c r="T10" i="11"/>
  <c r="T11" i="11"/>
  <c r="T9" i="11"/>
  <c r="T7" i="11"/>
  <c r="T5" i="11"/>
  <c r="T8" i="11"/>
  <c r="T6" i="11"/>
  <c r="T19" i="11"/>
  <c r="T24" i="11"/>
  <c r="T40" i="11"/>
  <c r="T21" i="11"/>
  <c r="T37" i="11"/>
  <c r="T18" i="11"/>
  <c r="T34" i="11"/>
  <c r="T14" i="11"/>
  <c r="T23" i="11"/>
  <c r="T28" i="11"/>
  <c r="T25" i="11"/>
  <c r="T41" i="11"/>
  <c r="T22" i="11"/>
  <c r="T38" i="11"/>
  <c r="T35" i="11"/>
  <c r="T27" i="11"/>
  <c r="T15" i="11"/>
  <c r="T32" i="11"/>
  <c r="T12" i="11"/>
  <c r="T29" i="11"/>
  <c r="T26" i="11"/>
  <c r="T42" i="11"/>
  <c r="T39" i="11"/>
  <c r="T31" i="11"/>
  <c r="T20" i="11"/>
  <c r="T17" i="11"/>
  <c r="T13" i="11"/>
  <c r="T36" i="11"/>
  <c r="T33" i="11"/>
  <c r="T30" i="11"/>
  <c r="Z16" i="11"/>
  <c r="Z11" i="11"/>
  <c r="Z9" i="11"/>
  <c r="Z7" i="11"/>
  <c r="Z5" i="11"/>
  <c r="Z8" i="11"/>
  <c r="Z6" i="11"/>
  <c r="Z10" i="11"/>
  <c r="Z15" i="11"/>
  <c r="Z22" i="11"/>
  <c r="Z38" i="11"/>
  <c r="Z27" i="11"/>
  <c r="Z32" i="11"/>
  <c r="Z21" i="11"/>
  <c r="Z37" i="11"/>
  <c r="Z26" i="11"/>
  <c r="Z42" i="11"/>
  <c r="Z14" i="11"/>
  <c r="Z31" i="11"/>
  <c r="Z20" i="11"/>
  <c r="Z36" i="11"/>
  <c r="Z25" i="11"/>
  <c r="Z41" i="11"/>
  <c r="Z13" i="11"/>
  <c r="Z30" i="11"/>
  <c r="Z19" i="11"/>
  <c r="Z35" i="11"/>
  <c r="Z24" i="11"/>
  <c r="Z40" i="11"/>
  <c r="Z12" i="11"/>
  <c r="Z29" i="11"/>
  <c r="Z39" i="11"/>
  <c r="Z28" i="11"/>
  <c r="Z33" i="11"/>
  <c r="Z18" i="11"/>
  <c r="Z34" i="11"/>
  <c r="Z23" i="11"/>
  <c r="Z17" i="11"/>
  <c r="R36" i="9"/>
  <c r="R35" i="9"/>
  <c r="R39" i="9"/>
  <c r="E30" i="5"/>
  <c r="D46" i="5"/>
  <c r="Q45" i="13"/>
  <c r="Q45" i="12"/>
  <c r="Q45" i="11"/>
  <c r="Q45" i="10"/>
  <c r="V54" i="9"/>
  <c r="V54" i="8"/>
  <c r="V58" i="8" s="1"/>
  <c r="V54" i="7"/>
  <c r="V11" i="11"/>
  <c r="V16" i="11"/>
  <c r="V8" i="11"/>
  <c r="V6" i="11"/>
  <c r="V10" i="11"/>
  <c r="V9" i="11"/>
  <c r="V7" i="11"/>
  <c r="V5" i="11"/>
  <c r="V25" i="11"/>
  <c r="V15" i="11"/>
  <c r="V32" i="11"/>
  <c r="V41" i="11"/>
  <c r="V26" i="11"/>
  <c r="V42" i="11"/>
  <c r="V19" i="11"/>
  <c r="V35" i="11"/>
  <c r="V29" i="11"/>
  <c r="V20" i="11"/>
  <c r="V36" i="11"/>
  <c r="V12" i="11"/>
  <c r="V13" i="11"/>
  <c r="V30" i="11"/>
  <c r="V23" i="11"/>
  <c r="V39" i="11"/>
  <c r="V17" i="11"/>
  <c r="V24" i="11"/>
  <c r="V40" i="11"/>
  <c r="V33" i="11"/>
  <c r="V18" i="11"/>
  <c r="V34" i="11"/>
  <c r="V27" i="11"/>
  <c r="V28" i="11"/>
  <c r="V14" i="11"/>
  <c r="V37" i="11"/>
  <c r="V22" i="11"/>
  <c r="V31" i="11"/>
  <c r="V21" i="11"/>
  <c r="V38" i="11"/>
  <c r="R38" i="9"/>
  <c r="R40" i="9"/>
  <c r="R37" i="9"/>
  <c r="R46" i="9"/>
  <c r="R32" i="9"/>
  <c r="R6" i="9"/>
  <c r="R13" i="9"/>
  <c r="R21" i="9"/>
  <c r="R29" i="9"/>
  <c r="R18" i="9"/>
  <c r="R26" i="9"/>
  <c r="AH33" i="9"/>
  <c r="AH42" i="9"/>
  <c r="M14" i="12"/>
  <c r="M14" i="24" s="1"/>
  <c r="M57" i="24" s="1"/>
  <c r="M14" i="13"/>
  <c r="U19" i="12"/>
  <c r="S19" i="24" s="1"/>
  <c r="S62" i="24" s="1"/>
  <c r="U19" i="13"/>
  <c r="O39" i="12"/>
  <c r="O39" i="24" s="1"/>
  <c r="O82" i="24" s="1"/>
  <c r="O39" i="13"/>
  <c r="O32" i="12"/>
  <c r="O32" i="24" s="1"/>
  <c r="O75" i="24" s="1"/>
  <c r="O32" i="13"/>
  <c r="O35" i="12"/>
  <c r="O35" i="24" s="1"/>
  <c r="O78" i="24" s="1"/>
  <c r="O35" i="13"/>
  <c r="O28" i="12"/>
  <c r="O28" i="24" s="1"/>
  <c r="O71" i="24" s="1"/>
  <c r="O28" i="13"/>
  <c r="O30" i="12"/>
  <c r="O30" i="24" s="1"/>
  <c r="O73" i="24" s="1"/>
  <c r="O30" i="13"/>
  <c r="O24" i="12"/>
  <c r="O24" i="24" s="1"/>
  <c r="O67" i="24" s="1"/>
  <c r="O24" i="13"/>
  <c r="O11" i="12"/>
  <c r="O11" i="24" s="1"/>
  <c r="O54" i="24" s="1"/>
  <c r="O11" i="13"/>
  <c r="O16" i="12"/>
  <c r="O16" i="24" s="1"/>
  <c r="O59" i="24" s="1"/>
  <c r="O16" i="13"/>
  <c r="M18" i="7"/>
  <c r="M12" i="7"/>
  <c r="Q38" i="9"/>
  <c r="Q51" i="9"/>
  <c r="Q7" i="9"/>
  <c r="Q32" i="9"/>
  <c r="Q30" i="9"/>
  <c r="Q20" i="9"/>
  <c r="Q18" i="9"/>
  <c r="Q13" i="9"/>
  <c r="Q27" i="9"/>
  <c r="Q14" i="9"/>
  <c r="Q26" i="9"/>
  <c r="X7" i="9"/>
  <c r="X12" i="9"/>
  <c r="X20" i="9"/>
  <c r="X28" i="9"/>
  <c r="X46" i="9"/>
  <c r="X42" i="9"/>
  <c r="X11" i="9"/>
  <c r="X19" i="9"/>
  <c r="X27" i="9"/>
  <c r="X35" i="9"/>
  <c r="X41" i="9"/>
  <c r="X49" i="9"/>
  <c r="L17" i="9"/>
  <c r="L38" i="9"/>
  <c r="L47" i="9"/>
  <c r="L49" i="9"/>
  <c r="L7" i="9"/>
  <c r="L30" i="9"/>
  <c r="L12" i="9"/>
  <c r="L9" i="9"/>
  <c r="L23" i="9"/>
  <c r="L14" i="9"/>
  <c r="L26" i="9"/>
  <c r="P51" i="9"/>
  <c r="R34" i="12"/>
  <c r="S34" i="12" s="1"/>
  <c r="S34" i="11"/>
  <c r="R34" i="13"/>
  <c r="S34" i="13" s="1"/>
  <c r="U36" i="12"/>
  <c r="S36" i="24" s="1"/>
  <c r="S79" i="24" s="1"/>
  <c r="U36" i="13"/>
  <c r="M31" i="7"/>
  <c r="U8" i="9"/>
  <c r="U37" i="9"/>
  <c r="U45" i="9"/>
  <c r="U16" i="9"/>
  <c r="U24" i="9"/>
  <c r="U32" i="9"/>
  <c r="U38" i="9"/>
  <c r="U49" i="9"/>
  <c r="U17" i="9"/>
  <c r="U25" i="9"/>
  <c r="U33" i="9"/>
  <c r="U48" i="9"/>
  <c r="M26" i="7"/>
  <c r="W53" i="7"/>
  <c r="W58" i="7" s="1"/>
  <c r="W40" i="8" s="1"/>
  <c r="V40" i="23" s="1"/>
  <c r="V92" i="23" s="1"/>
  <c r="W5" i="9"/>
  <c r="W8" i="9"/>
  <c r="W40" i="9"/>
  <c r="W11" i="9"/>
  <c r="W19" i="9"/>
  <c r="W27" i="9"/>
  <c r="W35" i="9"/>
  <c r="W41" i="9"/>
  <c r="W14" i="9"/>
  <c r="W22" i="9"/>
  <c r="W30" i="9"/>
  <c r="W47" i="9"/>
  <c r="M47" i="7"/>
  <c r="U15" i="12"/>
  <c r="S15" i="24" s="1"/>
  <c r="S58" i="24" s="1"/>
  <c r="U15" i="13"/>
  <c r="O17" i="12"/>
  <c r="O17" i="24" s="1"/>
  <c r="O60" i="24" s="1"/>
  <c r="O17" i="13"/>
  <c r="R37" i="12"/>
  <c r="S37" i="12" s="1"/>
  <c r="S37" i="11"/>
  <c r="R37" i="13"/>
  <c r="S37" i="13" s="1"/>
  <c r="R30" i="12"/>
  <c r="S30" i="12" s="1"/>
  <c r="S30" i="11"/>
  <c r="R30" i="13"/>
  <c r="S30" i="13" s="1"/>
  <c r="R33" i="12"/>
  <c r="S33" i="12" s="1"/>
  <c r="S33" i="11"/>
  <c r="R33" i="13"/>
  <c r="S33" i="13" s="1"/>
  <c r="R42" i="12"/>
  <c r="S42" i="12" s="1"/>
  <c r="S42" i="11"/>
  <c r="R42" i="13"/>
  <c r="S42" i="13" s="1"/>
  <c r="R32" i="12"/>
  <c r="S32" i="12" s="1"/>
  <c r="S32" i="11"/>
  <c r="R32" i="13"/>
  <c r="S32" i="13" s="1"/>
  <c r="R22" i="12"/>
  <c r="S22" i="12" s="1"/>
  <c r="S22" i="11"/>
  <c r="R22" i="13"/>
  <c r="S22" i="13" s="1"/>
  <c r="R9" i="12"/>
  <c r="S9" i="12" s="1"/>
  <c r="S9" i="11"/>
  <c r="R9" i="13"/>
  <c r="S9" i="13" s="1"/>
  <c r="R16" i="12"/>
  <c r="S16" i="12" s="1"/>
  <c r="S16" i="11"/>
  <c r="R16" i="13"/>
  <c r="S16" i="13" s="1"/>
  <c r="M13" i="7"/>
  <c r="AD49" i="7"/>
  <c r="AC49" i="9"/>
  <c r="AD49" i="9" s="1"/>
  <c r="AD27" i="7"/>
  <c r="AC27" i="9"/>
  <c r="AD27" i="9" s="1"/>
  <c r="AD29" i="7"/>
  <c r="AC29" i="9"/>
  <c r="AD29" i="9" s="1"/>
  <c r="AD22" i="7"/>
  <c r="AC22" i="9"/>
  <c r="AD22" i="9" s="1"/>
  <c r="AD24" i="7"/>
  <c r="AC24" i="9"/>
  <c r="AD24" i="9" s="1"/>
  <c r="AD35" i="7"/>
  <c r="AC35" i="9"/>
  <c r="AD35" i="9" s="1"/>
  <c r="AD7" i="7"/>
  <c r="AC7" i="9"/>
  <c r="AD7" i="9" s="1"/>
  <c r="AD12" i="7"/>
  <c r="AC12" i="9"/>
  <c r="AD12" i="9" s="1"/>
  <c r="AD20" i="7"/>
  <c r="AC20" i="9"/>
  <c r="AD20" i="9" s="1"/>
  <c r="AD15" i="7"/>
  <c r="AC15" i="9"/>
  <c r="AD15" i="9" s="1"/>
  <c r="M37" i="7"/>
  <c r="M44" i="7"/>
  <c r="O28" i="9"/>
  <c r="O36" i="12"/>
  <c r="O36" i="24" s="1"/>
  <c r="O79" i="24" s="1"/>
  <c r="O36" i="13"/>
  <c r="O33" i="12"/>
  <c r="O33" i="24" s="1"/>
  <c r="O76" i="24" s="1"/>
  <c r="O33" i="13"/>
  <c r="M27" i="12"/>
  <c r="M27" i="24" s="1"/>
  <c r="M70" i="24" s="1"/>
  <c r="M27" i="13"/>
  <c r="M34" i="12"/>
  <c r="M34" i="24" s="1"/>
  <c r="M77" i="24" s="1"/>
  <c r="M34" i="13"/>
  <c r="M12" i="12"/>
  <c r="M12" i="24" s="1"/>
  <c r="M55" i="24" s="1"/>
  <c r="M12" i="13"/>
  <c r="M30" i="12"/>
  <c r="M30" i="24" s="1"/>
  <c r="M73" i="24" s="1"/>
  <c r="M30" i="13"/>
  <c r="M25" i="12"/>
  <c r="M25" i="24" s="1"/>
  <c r="M68" i="24" s="1"/>
  <c r="M25" i="13"/>
  <c r="M7" i="12"/>
  <c r="M7" i="24" s="1"/>
  <c r="M50" i="24" s="1"/>
  <c r="M7" i="13"/>
  <c r="M10" i="12"/>
  <c r="M10" i="24" s="1"/>
  <c r="M53" i="24" s="1"/>
  <c r="M10" i="13"/>
  <c r="U25" i="12"/>
  <c r="S25" i="24" s="1"/>
  <c r="S68" i="24" s="1"/>
  <c r="U25" i="13"/>
  <c r="U38" i="12"/>
  <c r="S38" i="24" s="1"/>
  <c r="S81" i="24" s="1"/>
  <c r="U38" i="13"/>
  <c r="U28" i="12"/>
  <c r="S28" i="24" s="1"/>
  <c r="S71" i="24" s="1"/>
  <c r="U28" i="13"/>
  <c r="U13" i="12"/>
  <c r="S13" i="24" s="1"/>
  <c r="S56" i="24" s="1"/>
  <c r="U13" i="13"/>
  <c r="U24" i="12"/>
  <c r="S24" i="24" s="1"/>
  <c r="S67" i="24" s="1"/>
  <c r="U24" i="13"/>
  <c r="U10" i="12"/>
  <c r="S10" i="24" s="1"/>
  <c r="S53" i="24" s="1"/>
  <c r="U10" i="13"/>
  <c r="U5" i="12"/>
  <c r="S5" i="24" s="1"/>
  <c r="S48" i="24" s="1"/>
  <c r="U44" i="11"/>
  <c r="U5" i="13"/>
  <c r="M17" i="7"/>
  <c r="O21" i="9"/>
  <c r="O39" i="9"/>
  <c r="O49" i="9"/>
  <c r="O35" i="9"/>
  <c r="O29" i="9"/>
  <c r="O31" i="9"/>
  <c r="O7" i="9"/>
  <c r="O12" i="9"/>
  <c r="O20" i="9"/>
  <c r="O15" i="9"/>
  <c r="M39" i="7"/>
  <c r="M46" i="7"/>
  <c r="P47" i="9"/>
  <c r="P49" i="9"/>
  <c r="P46" i="9"/>
  <c r="P39" i="9"/>
  <c r="P6" i="9"/>
  <c r="P8" i="9"/>
  <c r="P16" i="9"/>
  <c r="P24" i="9"/>
  <c r="P13" i="9"/>
  <c r="P21" i="9"/>
  <c r="P29" i="9"/>
  <c r="AH35" i="9"/>
  <c r="AH29" i="9"/>
  <c r="AH50" i="9"/>
  <c r="AH48" i="9"/>
  <c r="AH46" i="9"/>
  <c r="AH28" i="9"/>
  <c r="AH9" i="9"/>
  <c r="AH17" i="9"/>
  <c r="AH10" i="9"/>
  <c r="AH18" i="9"/>
  <c r="P16" i="11"/>
  <c r="P9" i="11"/>
  <c r="P7" i="11"/>
  <c r="P5" i="11"/>
  <c r="P11" i="11"/>
  <c r="P10" i="11"/>
  <c r="P8" i="11"/>
  <c r="P6" i="11"/>
  <c r="P26" i="11"/>
  <c r="P42" i="11"/>
  <c r="P15" i="11"/>
  <c r="P20" i="11"/>
  <c r="P36" i="11"/>
  <c r="P17" i="11"/>
  <c r="P33" i="11"/>
  <c r="P23" i="11"/>
  <c r="P39" i="11"/>
  <c r="P13" i="11"/>
  <c r="P30" i="11"/>
  <c r="P24" i="11"/>
  <c r="P40" i="11"/>
  <c r="P21" i="11"/>
  <c r="P37" i="11"/>
  <c r="P27" i="11"/>
  <c r="P18" i="11"/>
  <c r="P34" i="11"/>
  <c r="P28" i="11"/>
  <c r="P25" i="11"/>
  <c r="P41" i="11"/>
  <c r="P14" i="11"/>
  <c r="P31" i="11"/>
  <c r="P22" i="11"/>
  <c r="P19" i="11"/>
  <c r="P38" i="11"/>
  <c r="P35" i="11"/>
  <c r="P12" i="11"/>
  <c r="P32" i="11"/>
  <c r="P29" i="11"/>
  <c r="R33" i="9"/>
  <c r="R42" i="9"/>
  <c r="R44" i="9"/>
  <c r="R41" i="9"/>
  <c r="R43" i="9"/>
  <c r="R48" i="9"/>
  <c r="R5" i="9"/>
  <c r="R53" i="7"/>
  <c r="R9" i="9"/>
  <c r="R15" i="9"/>
  <c r="R23" i="9"/>
  <c r="R12" i="9"/>
  <c r="R20" i="9"/>
  <c r="R28" i="9"/>
  <c r="O44" i="9"/>
  <c r="L11" i="9"/>
  <c r="R18" i="12"/>
  <c r="S18" i="12" s="1"/>
  <c r="S18" i="11"/>
  <c r="R18" i="13"/>
  <c r="S18" i="13" s="1"/>
  <c r="U20" i="12"/>
  <c r="S20" i="24" s="1"/>
  <c r="S63" i="24" s="1"/>
  <c r="U20" i="13"/>
  <c r="O38" i="12"/>
  <c r="O38" i="24" s="1"/>
  <c r="O81" i="24" s="1"/>
  <c r="O38" i="13"/>
  <c r="O15" i="12"/>
  <c r="O15" i="24" s="1"/>
  <c r="O58" i="24" s="1"/>
  <c r="O15" i="13"/>
  <c r="O34" i="12"/>
  <c r="O34" i="24" s="1"/>
  <c r="O77" i="24" s="1"/>
  <c r="O34" i="13"/>
  <c r="O37" i="12"/>
  <c r="O37" i="24" s="1"/>
  <c r="O80" i="24" s="1"/>
  <c r="O37" i="13"/>
  <c r="O13" i="12"/>
  <c r="O13" i="24" s="1"/>
  <c r="O56" i="24" s="1"/>
  <c r="O13" i="13"/>
  <c r="O6" i="12"/>
  <c r="O6" i="24" s="1"/>
  <c r="O49" i="24" s="1"/>
  <c r="O6" i="13"/>
  <c r="O5" i="12"/>
  <c r="O5" i="24" s="1"/>
  <c r="O48" i="24" s="1"/>
  <c r="O44" i="11"/>
  <c r="O5" i="13"/>
  <c r="M21" i="7"/>
  <c r="S53" i="7"/>
  <c r="M32" i="7"/>
  <c r="M41" i="7"/>
  <c r="Q49" i="9"/>
  <c r="Q35" i="9"/>
  <c r="Q45" i="9"/>
  <c r="Q47" i="9"/>
  <c r="Q41" i="9"/>
  <c r="Q43" i="9"/>
  <c r="Q6" i="9"/>
  <c r="Q15" i="9"/>
  <c r="Q29" i="9"/>
  <c r="Q16" i="9"/>
  <c r="Q28" i="9"/>
  <c r="X6" i="9"/>
  <c r="X14" i="9"/>
  <c r="X22" i="9"/>
  <c r="X30" i="9"/>
  <c r="X36" i="9"/>
  <c r="X44" i="9"/>
  <c r="X13" i="9"/>
  <c r="X21" i="9"/>
  <c r="X29" i="9"/>
  <c r="X50" i="9"/>
  <c r="X43" i="9"/>
  <c r="X51" i="9"/>
  <c r="L36" i="9"/>
  <c r="L37" i="9"/>
  <c r="L31" i="9"/>
  <c r="L33" i="9"/>
  <c r="L43" i="9"/>
  <c r="L45" i="9"/>
  <c r="L6" i="9"/>
  <c r="L13" i="9"/>
  <c r="L27" i="9"/>
  <c r="L16" i="9"/>
  <c r="L28" i="9"/>
  <c r="AD37" i="7"/>
  <c r="AC37" i="9"/>
  <c r="AD37" i="9" s="1"/>
  <c r="R31" i="12"/>
  <c r="S31" i="12" s="1"/>
  <c r="S31" i="11"/>
  <c r="R31" i="13"/>
  <c r="S31" i="13" s="1"/>
  <c r="Z53" i="8"/>
  <c r="M7" i="7"/>
  <c r="U5" i="9"/>
  <c r="U53" i="7"/>
  <c r="U58" i="7" s="1"/>
  <c r="U37" i="8" s="1"/>
  <c r="T37" i="23" s="1"/>
  <c r="T89" i="23" s="1"/>
  <c r="U39" i="9"/>
  <c r="U10" i="9"/>
  <c r="U18" i="9"/>
  <c r="U26" i="9"/>
  <c r="U34" i="9"/>
  <c r="U40" i="9"/>
  <c r="U11" i="9"/>
  <c r="U19" i="9"/>
  <c r="U27" i="9"/>
  <c r="U35" i="9"/>
  <c r="U50" i="9"/>
  <c r="M34" i="7"/>
  <c r="W7" i="9"/>
  <c r="W10" i="8"/>
  <c r="V10" i="23" s="1"/>
  <c r="V62" i="23" s="1"/>
  <c r="W10" i="9"/>
  <c r="W42" i="9"/>
  <c r="W13" i="8"/>
  <c r="V13" i="23" s="1"/>
  <c r="V65" i="23" s="1"/>
  <c r="W13" i="9"/>
  <c r="W21" i="9"/>
  <c r="W29" i="8"/>
  <c r="V29" i="23" s="1"/>
  <c r="V81" i="23" s="1"/>
  <c r="W29" i="9"/>
  <c r="W50" i="9"/>
  <c r="W43" i="8"/>
  <c r="V43" i="23" s="1"/>
  <c r="V95" i="23" s="1"/>
  <c r="W43" i="9"/>
  <c r="W16" i="9"/>
  <c r="W24" i="8"/>
  <c r="V24" i="23" s="1"/>
  <c r="V76" i="23" s="1"/>
  <c r="W24" i="9"/>
  <c r="W32" i="9"/>
  <c r="W49" i="8"/>
  <c r="V49" i="23" s="1"/>
  <c r="V101" i="23" s="1"/>
  <c r="W49" i="9"/>
  <c r="M19" i="7"/>
  <c r="AD40" i="7"/>
  <c r="AC40" i="9"/>
  <c r="AD40" i="9" s="1"/>
  <c r="AH22" i="9"/>
  <c r="O23" i="12"/>
  <c r="O23" i="24" s="1"/>
  <c r="O66" i="24" s="1"/>
  <c r="O23" i="13"/>
  <c r="R41" i="12"/>
  <c r="S41" i="12" s="1"/>
  <c r="S41" i="11"/>
  <c r="R41" i="13"/>
  <c r="S41" i="13" s="1"/>
  <c r="R40" i="12"/>
  <c r="S40" i="12" s="1"/>
  <c r="S40" i="11"/>
  <c r="R40" i="13"/>
  <c r="S40" i="13" s="1"/>
  <c r="R13" i="12"/>
  <c r="S13" i="12" s="1"/>
  <c r="S13" i="11"/>
  <c r="R13" i="13"/>
  <c r="S13" i="13" s="1"/>
  <c r="R36" i="12"/>
  <c r="S36" i="12" s="1"/>
  <c r="S36" i="11"/>
  <c r="R36" i="13"/>
  <c r="S36" i="13" s="1"/>
  <c r="R26" i="12"/>
  <c r="S26" i="12" s="1"/>
  <c r="S26" i="11"/>
  <c r="R26" i="13"/>
  <c r="S26" i="13" s="1"/>
  <c r="R35" i="12"/>
  <c r="S35" i="12" s="1"/>
  <c r="S35" i="11"/>
  <c r="R35" i="13"/>
  <c r="S35" i="13" s="1"/>
  <c r="R17" i="12"/>
  <c r="S17" i="12" s="1"/>
  <c r="S17" i="11"/>
  <c r="R17" i="13"/>
  <c r="S17" i="13" s="1"/>
  <c r="R6" i="12"/>
  <c r="S6" i="12" s="1"/>
  <c r="S6" i="11"/>
  <c r="R6" i="13"/>
  <c r="S6" i="13" s="1"/>
  <c r="R11" i="12"/>
  <c r="S11" i="12" s="1"/>
  <c r="S11" i="11"/>
  <c r="R11" i="13"/>
  <c r="S11" i="13" s="1"/>
  <c r="M25" i="7"/>
  <c r="AD33" i="7"/>
  <c r="AC33" i="9"/>
  <c r="AD33" i="9" s="1"/>
  <c r="AD50" i="7"/>
  <c r="AC50" i="9"/>
  <c r="AD50" i="9" s="1"/>
  <c r="AD48" i="7"/>
  <c r="AC48" i="9"/>
  <c r="AD48" i="9" s="1"/>
  <c r="AD46" i="7"/>
  <c r="AC46" i="9"/>
  <c r="AD46" i="9" s="1"/>
  <c r="AD44" i="7"/>
  <c r="AC44" i="9"/>
  <c r="AD44" i="9" s="1"/>
  <c r="AD42" i="7"/>
  <c r="AC42" i="9"/>
  <c r="AD42" i="9" s="1"/>
  <c r="AD6" i="7"/>
  <c r="AC6" i="9"/>
  <c r="AD6" i="9" s="1"/>
  <c r="AD14" i="7"/>
  <c r="AC14" i="9"/>
  <c r="AD14" i="9" s="1"/>
  <c r="AD9" i="7"/>
  <c r="AC9" i="9"/>
  <c r="AD9" i="9" s="1"/>
  <c r="AD17" i="7"/>
  <c r="AC17" i="9"/>
  <c r="AD17" i="9" s="1"/>
  <c r="M8" i="7"/>
  <c r="M27" i="7"/>
  <c r="Q40" i="9"/>
  <c r="M21" i="12"/>
  <c r="M21" i="24" s="1"/>
  <c r="M64" i="24" s="1"/>
  <c r="M21" i="13"/>
  <c r="U12" i="12"/>
  <c r="S12" i="24" s="1"/>
  <c r="S55" i="24" s="1"/>
  <c r="U12" i="13"/>
  <c r="M37" i="12"/>
  <c r="M37" i="24" s="1"/>
  <c r="M80" i="24" s="1"/>
  <c r="M37" i="13"/>
  <c r="M17" i="12"/>
  <c r="M17" i="24" s="1"/>
  <c r="M60" i="24" s="1"/>
  <c r="M17" i="13"/>
  <c r="M18" i="12"/>
  <c r="M18" i="24" s="1"/>
  <c r="M61" i="24" s="1"/>
  <c r="M18" i="13"/>
  <c r="M40" i="12"/>
  <c r="M40" i="24" s="1"/>
  <c r="M83" i="24" s="1"/>
  <c r="M40" i="13"/>
  <c r="M13" i="12"/>
  <c r="M13" i="24" s="1"/>
  <c r="M56" i="24" s="1"/>
  <c r="M13" i="13"/>
  <c r="M36" i="12"/>
  <c r="M36" i="24" s="1"/>
  <c r="M79" i="24" s="1"/>
  <c r="M36" i="13"/>
  <c r="M9" i="12"/>
  <c r="M9" i="24" s="1"/>
  <c r="M52" i="24" s="1"/>
  <c r="M9" i="13"/>
  <c r="M16" i="12"/>
  <c r="M16" i="24" s="1"/>
  <c r="M59" i="24" s="1"/>
  <c r="M16" i="13"/>
  <c r="U32" i="12"/>
  <c r="S32" i="24" s="1"/>
  <c r="S75" i="24" s="1"/>
  <c r="U32" i="13"/>
  <c r="U18" i="12"/>
  <c r="S18" i="24" s="1"/>
  <c r="S61" i="24" s="1"/>
  <c r="U18" i="13"/>
  <c r="U27" i="12"/>
  <c r="S27" i="24" s="1"/>
  <c r="S70" i="24" s="1"/>
  <c r="U27" i="13"/>
  <c r="U33" i="12"/>
  <c r="S33" i="24" s="1"/>
  <c r="S76" i="24" s="1"/>
  <c r="U33" i="13"/>
  <c r="U39" i="12"/>
  <c r="S39" i="24" s="1"/>
  <c r="S82" i="24" s="1"/>
  <c r="U39" i="13"/>
  <c r="U11" i="12"/>
  <c r="S11" i="24" s="1"/>
  <c r="S54" i="24" s="1"/>
  <c r="U11" i="13"/>
  <c r="U7" i="12"/>
  <c r="S7" i="24" s="1"/>
  <c r="S50" i="24" s="1"/>
  <c r="U7" i="13"/>
  <c r="O43" i="9"/>
  <c r="O37" i="9"/>
  <c r="O22" i="9"/>
  <c r="O33" i="9"/>
  <c r="O46" i="9"/>
  <c r="O48" i="9"/>
  <c r="O42" i="9"/>
  <c r="O6" i="9"/>
  <c r="O14" i="9"/>
  <c r="O9" i="9"/>
  <c r="O17" i="9"/>
  <c r="M14" i="7"/>
  <c r="P37" i="9"/>
  <c r="P31" i="9"/>
  <c r="P33" i="9"/>
  <c r="P30" i="9"/>
  <c r="P42" i="9"/>
  <c r="P9" i="9"/>
  <c r="P10" i="9"/>
  <c r="P18" i="9"/>
  <c r="P26" i="9"/>
  <c r="P15" i="9"/>
  <c r="P23" i="9"/>
  <c r="AH40" i="9"/>
  <c r="AH38" i="9"/>
  <c r="AH36" i="9"/>
  <c r="AH34" i="9"/>
  <c r="AH32" i="9"/>
  <c r="AH30" i="9"/>
  <c r="AH6" i="9"/>
  <c r="AH11" i="9"/>
  <c r="AH19" i="9"/>
  <c r="AH12" i="9"/>
  <c r="AH20" i="9"/>
  <c r="Y60" i="6"/>
  <c r="Y54" i="9"/>
  <c r="Y54" i="8"/>
  <c r="Y58" i="8" s="1"/>
  <c r="Y54" i="7"/>
  <c r="R49" i="9"/>
  <c r="R7" i="9"/>
  <c r="R10" i="9"/>
  <c r="R17" i="9"/>
  <c r="R25" i="9"/>
  <c r="R14" i="9"/>
  <c r="R22" i="9"/>
  <c r="P35" i="9"/>
  <c r="R12" i="12"/>
  <c r="S12" i="12" s="1"/>
  <c r="S12" i="11"/>
  <c r="R12" i="13"/>
  <c r="S12" i="13" s="1"/>
  <c r="U42" i="12"/>
  <c r="S42" i="24" s="1"/>
  <c r="S85" i="24" s="1"/>
  <c r="U42" i="13"/>
  <c r="M41" i="12"/>
  <c r="M41" i="24" s="1"/>
  <c r="M84" i="24" s="1"/>
  <c r="M41" i="13"/>
  <c r="O29" i="12"/>
  <c r="O29" i="24" s="1"/>
  <c r="O72" i="24" s="1"/>
  <c r="O29" i="13"/>
  <c r="O22" i="12"/>
  <c r="O22" i="24" s="1"/>
  <c r="O65" i="24" s="1"/>
  <c r="O22" i="13"/>
  <c r="O41" i="12"/>
  <c r="O41" i="24" s="1"/>
  <c r="O84" i="24" s="1"/>
  <c r="O41" i="13"/>
  <c r="O18" i="12"/>
  <c r="O18" i="24" s="1"/>
  <c r="O61" i="24" s="1"/>
  <c r="O18" i="13"/>
  <c r="O21" i="12"/>
  <c r="O21" i="24" s="1"/>
  <c r="O64" i="24" s="1"/>
  <c r="O21" i="13"/>
  <c r="O27" i="12"/>
  <c r="O27" i="24" s="1"/>
  <c r="O70" i="24" s="1"/>
  <c r="O27" i="13"/>
  <c r="O8" i="12"/>
  <c r="O8" i="24" s="1"/>
  <c r="O51" i="24" s="1"/>
  <c r="O8" i="13"/>
  <c r="O7" i="12"/>
  <c r="O7" i="24" s="1"/>
  <c r="O50" i="24" s="1"/>
  <c r="O7" i="13"/>
  <c r="M29" i="7"/>
  <c r="M40" i="7"/>
  <c r="Q39" i="9"/>
  <c r="Q33" i="9"/>
  <c r="Q50" i="9"/>
  <c r="Q25" i="9"/>
  <c r="Q31" i="9"/>
  <c r="Q17" i="9"/>
  <c r="Q19" i="9"/>
  <c r="Q5" i="8"/>
  <c r="Q5" i="23" s="1"/>
  <c r="Q57" i="23" s="1"/>
  <c r="Q53" i="7"/>
  <c r="Q58" i="7" s="1"/>
  <c r="Q12" i="8" s="1"/>
  <c r="Q12" i="23" s="1"/>
  <c r="Q64" i="23" s="1"/>
  <c r="Q5" i="9"/>
  <c r="Q21" i="9"/>
  <c r="Q8" i="8"/>
  <c r="Q8" i="23" s="1"/>
  <c r="Q60" i="23" s="1"/>
  <c r="Q8" i="9"/>
  <c r="Q22" i="9"/>
  <c r="L45" i="13"/>
  <c r="L45" i="12"/>
  <c r="L49" i="12" s="1"/>
  <c r="L45" i="10"/>
  <c r="L45" i="11"/>
  <c r="L49" i="11" s="1"/>
  <c r="X8" i="9"/>
  <c r="X16" i="9"/>
  <c r="X24" i="9"/>
  <c r="X32" i="9"/>
  <c r="X38" i="9"/>
  <c r="X48" i="9"/>
  <c r="X15" i="9"/>
  <c r="X23" i="9"/>
  <c r="X31" i="9"/>
  <c r="X37" i="9"/>
  <c r="X45" i="9"/>
  <c r="S46" i="13"/>
  <c r="S46" i="12"/>
  <c r="S46" i="11"/>
  <c r="S46" i="10"/>
  <c r="L51" i="9"/>
  <c r="L48" i="9"/>
  <c r="L50" i="9"/>
  <c r="L44" i="9"/>
  <c r="L19" i="9"/>
  <c r="L25" i="9"/>
  <c r="L8" i="9"/>
  <c r="L15" i="9"/>
  <c r="L29" i="9"/>
  <c r="L22" i="9"/>
  <c r="AH49" i="9"/>
  <c r="AD23" i="7"/>
  <c r="AC23" i="9"/>
  <c r="AD23" i="9" s="1"/>
  <c r="R29" i="12"/>
  <c r="S29" i="12" s="1"/>
  <c r="S29" i="11"/>
  <c r="R29" i="13"/>
  <c r="S29" i="13" s="1"/>
  <c r="U35" i="12"/>
  <c r="S35" i="24" s="1"/>
  <c r="S78" i="24" s="1"/>
  <c r="U35" i="13"/>
  <c r="M23" i="7"/>
  <c r="U7" i="9"/>
  <c r="U41" i="9"/>
  <c r="U12" i="9"/>
  <c r="U20" i="9"/>
  <c r="U28" i="9"/>
  <c r="U47" i="9"/>
  <c r="U42" i="9"/>
  <c r="U13" i="9"/>
  <c r="U21" i="9"/>
  <c r="U29" i="9"/>
  <c r="U51" i="9"/>
  <c r="M35" i="7"/>
  <c r="M42" i="7"/>
  <c r="W9" i="9"/>
  <c r="W36" i="9"/>
  <c r="W44" i="9"/>
  <c r="W15" i="9"/>
  <c r="W23" i="9"/>
  <c r="W31" i="9"/>
  <c r="W37" i="9"/>
  <c r="W45" i="9"/>
  <c r="W18" i="9"/>
  <c r="W26" i="9"/>
  <c r="W34" i="9"/>
  <c r="W51" i="9"/>
  <c r="AD31" i="7"/>
  <c r="AC31" i="9"/>
  <c r="AD31" i="9" s="1"/>
  <c r="O24" i="9"/>
  <c r="M15" i="12"/>
  <c r="M15" i="24" s="1"/>
  <c r="M58" i="24" s="1"/>
  <c r="M15" i="13"/>
  <c r="M26" i="12"/>
  <c r="M26" i="24" s="1"/>
  <c r="M69" i="24" s="1"/>
  <c r="M26" i="13"/>
  <c r="R24" i="12"/>
  <c r="S24" i="12" s="1"/>
  <c r="S24" i="11"/>
  <c r="R24" i="13"/>
  <c r="S24" i="13" s="1"/>
  <c r="R25" i="12"/>
  <c r="S25" i="12" s="1"/>
  <c r="S25" i="11"/>
  <c r="R25" i="13"/>
  <c r="S25" i="13" s="1"/>
  <c r="R39" i="12"/>
  <c r="S39" i="12" s="1"/>
  <c r="S39" i="11"/>
  <c r="R39" i="13"/>
  <c r="S39" i="13" s="1"/>
  <c r="R21" i="12"/>
  <c r="S21" i="12" s="1"/>
  <c r="S21" i="11"/>
  <c r="R21" i="13"/>
  <c r="S21" i="13" s="1"/>
  <c r="R19" i="12"/>
  <c r="S19" i="12" s="1"/>
  <c r="S19" i="11"/>
  <c r="R19" i="13"/>
  <c r="S19" i="13" s="1"/>
  <c r="R5" i="12"/>
  <c r="Q5" i="24" s="1"/>
  <c r="Q48" i="24" s="1"/>
  <c r="S5" i="11"/>
  <c r="R44" i="11"/>
  <c r="R5" i="13"/>
  <c r="R8" i="12"/>
  <c r="S8" i="12" s="1"/>
  <c r="S8" i="11"/>
  <c r="R8" i="13"/>
  <c r="S8" i="13" s="1"/>
  <c r="AD38" i="7"/>
  <c r="AC38" i="9"/>
  <c r="AD38" i="9" s="1"/>
  <c r="AD36" i="7"/>
  <c r="AC36" i="9"/>
  <c r="AD36" i="9" s="1"/>
  <c r="AD34" i="7"/>
  <c r="AC34" i="9"/>
  <c r="AD34" i="9" s="1"/>
  <c r="AD32" i="7"/>
  <c r="AC32" i="9"/>
  <c r="AD32" i="9" s="1"/>
  <c r="AD30" i="7"/>
  <c r="AC30" i="9"/>
  <c r="AD30" i="9" s="1"/>
  <c r="AD28" i="7"/>
  <c r="AC28" i="9"/>
  <c r="AD28" i="9" s="1"/>
  <c r="AD26" i="7"/>
  <c r="AC26" i="9"/>
  <c r="AD26" i="9" s="1"/>
  <c r="AD8" i="7"/>
  <c r="AC8" i="9"/>
  <c r="AD8" i="9" s="1"/>
  <c r="AD16" i="7"/>
  <c r="AC16" i="9"/>
  <c r="AD16" i="9" s="1"/>
  <c r="AD11" i="7"/>
  <c r="AC11" i="9"/>
  <c r="AD11" i="9" s="1"/>
  <c r="AD19" i="7"/>
  <c r="AC19" i="9"/>
  <c r="AD19" i="9" s="1"/>
  <c r="M28" i="7"/>
  <c r="S47" i="13"/>
  <c r="S47" i="12"/>
  <c r="S47" i="11"/>
  <c r="S47" i="10"/>
  <c r="AH26" i="9"/>
  <c r="AH39" i="9"/>
  <c r="M42" i="12"/>
  <c r="M42" i="24" s="1"/>
  <c r="M85" i="24" s="1"/>
  <c r="M42" i="13"/>
  <c r="M38" i="12"/>
  <c r="M38" i="24" s="1"/>
  <c r="M81" i="24" s="1"/>
  <c r="M38" i="13"/>
  <c r="M28" i="12"/>
  <c r="M28" i="24" s="1"/>
  <c r="M71" i="24" s="1"/>
  <c r="M28" i="13"/>
  <c r="M23" i="12"/>
  <c r="M23" i="24" s="1"/>
  <c r="M66" i="24" s="1"/>
  <c r="M23" i="13"/>
  <c r="M24" i="12"/>
  <c r="M24" i="24" s="1"/>
  <c r="M67" i="24" s="1"/>
  <c r="M24" i="13"/>
  <c r="M35" i="12"/>
  <c r="M35" i="24" s="1"/>
  <c r="M78" i="24" s="1"/>
  <c r="M35" i="13"/>
  <c r="M20" i="12"/>
  <c r="M20" i="24" s="1"/>
  <c r="M63" i="24" s="1"/>
  <c r="M20" i="13"/>
  <c r="M6" i="12"/>
  <c r="M6" i="24" s="1"/>
  <c r="M49" i="24" s="1"/>
  <c r="M6" i="13"/>
  <c r="M11" i="12"/>
  <c r="M11" i="24" s="1"/>
  <c r="M54" i="24" s="1"/>
  <c r="M11" i="13"/>
  <c r="U31" i="12"/>
  <c r="S31" i="24" s="1"/>
  <c r="S74" i="24" s="1"/>
  <c r="U31" i="13"/>
  <c r="U37" i="12"/>
  <c r="S37" i="24" s="1"/>
  <c r="S80" i="24" s="1"/>
  <c r="U37" i="13"/>
  <c r="U34" i="12"/>
  <c r="S34" i="24" s="1"/>
  <c r="S77" i="24" s="1"/>
  <c r="U34" i="13"/>
  <c r="U17" i="12"/>
  <c r="S17" i="24" s="1"/>
  <c r="S60" i="24" s="1"/>
  <c r="U17" i="13"/>
  <c r="U23" i="12"/>
  <c r="S23" i="24" s="1"/>
  <c r="S66" i="24" s="1"/>
  <c r="U23" i="13"/>
  <c r="U6" i="12"/>
  <c r="S6" i="24" s="1"/>
  <c r="S49" i="24" s="1"/>
  <c r="I11" i="26" s="1"/>
  <c r="U6" i="13"/>
  <c r="U9" i="12"/>
  <c r="S9" i="24" s="1"/>
  <c r="S52" i="24" s="1"/>
  <c r="U9" i="13"/>
  <c r="AA53" i="8"/>
  <c r="O27" i="9"/>
  <c r="O40" i="9"/>
  <c r="O50" i="9"/>
  <c r="O36" i="9"/>
  <c r="O30" i="9"/>
  <c r="O32" i="9"/>
  <c r="O26" i="9"/>
  <c r="O8" i="9"/>
  <c r="O16" i="9"/>
  <c r="O11" i="9"/>
  <c r="O19" i="9"/>
  <c r="M30" i="7"/>
  <c r="P48" i="9"/>
  <c r="P50" i="9"/>
  <c r="P44" i="9"/>
  <c r="P45" i="9"/>
  <c r="P41" i="9"/>
  <c r="P5" i="9"/>
  <c r="P53" i="7"/>
  <c r="P58" i="7" s="1"/>
  <c r="P35" i="8" s="1"/>
  <c r="P35" i="23" s="1"/>
  <c r="P87" i="23" s="1"/>
  <c r="P12" i="9"/>
  <c r="P20" i="9"/>
  <c r="P28" i="9"/>
  <c r="P17" i="9"/>
  <c r="P25" i="9"/>
  <c r="AH23" i="9"/>
  <c r="AH21" i="9"/>
  <c r="AH47" i="9"/>
  <c r="AH41" i="9"/>
  <c r="AH43" i="9"/>
  <c r="AH37" i="9"/>
  <c r="AH5" i="9"/>
  <c r="AH53" i="7"/>
  <c r="AH58" i="7" s="1"/>
  <c r="AH42" i="8" s="1"/>
  <c r="AD42" i="23" s="1"/>
  <c r="AD94" i="23" s="1"/>
  <c r="AH13" i="9"/>
  <c r="AH25" i="9"/>
  <c r="AH14" i="9"/>
  <c r="V50" i="7"/>
  <c r="V48" i="7"/>
  <c r="V46" i="7"/>
  <c r="V49" i="7"/>
  <c r="V44" i="7"/>
  <c r="V42" i="7"/>
  <c r="V40" i="7"/>
  <c r="V38" i="7"/>
  <c r="V36" i="7"/>
  <c r="V47" i="7"/>
  <c r="V34" i="7"/>
  <c r="V32" i="7"/>
  <c r="V30" i="7"/>
  <c r="V28" i="7"/>
  <c r="V26" i="7"/>
  <c r="V24" i="7"/>
  <c r="V22" i="7"/>
  <c r="V20" i="7"/>
  <c r="V18" i="7"/>
  <c r="V16" i="7"/>
  <c r="V14" i="7"/>
  <c r="V12" i="7"/>
  <c r="V10" i="7"/>
  <c r="V8" i="7"/>
  <c r="V45" i="7"/>
  <c r="V43" i="7"/>
  <c r="V41" i="7"/>
  <c r="V39" i="7"/>
  <c r="V37" i="7"/>
  <c r="V51" i="7"/>
  <c r="V35" i="7"/>
  <c r="V33" i="7"/>
  <c r="V31" i="7"/>
  <c r="V29" i="7"/>
  <c r="V27" i="7"/>
  <c r="V25" i="7"/>
  <c r="V23" i="7"/>
  <c r="V21" i="7"/>
  <c r="V19" i="7"/>
  <c r="V17" i="7"/>
  <c r="V15" i="7"/>
  <c r="V13" i="7"/>
  <c r="V11" i="7"/>
  <c r="V9" i="7"/>
  <c r="V7" i="7"/>
  <c r="V5" i="7"/>
  <c r="V6" i="7"/>
  <c r="N54" i="8"/>
  <c r="N58" i="8" s="1"/>
  <c r="N54" i="9"/>
  <c r="N54" i="7"/>
  <c r="M16" i="7"/>
  <c r="M15" i="7"/>
  <c r="M6" i="7"/>
  <c r="M10" i="7"/>
  <c r="M9" i="7"/>
  <c r="M5" i="7"/>
  <c r="M11" i="7"/>
  <c r="M24" i="7"/>
  <c r="N11" i="11"/>
  <c r="N10" i="11"/>
  <c r="N8" i="11"/>
  <c r="N6" i="11"/>
  <c r="N16" i="11"/>
  <c r="N9" i="11"/>
  <c r="N7" i="11"/>
  <c r="N5" i="11"/>
  <c r="N22" i="11"/>
  <c r="N38" i="11"/>
  <c r="N15" i="11"/>
  <c r="N29" i="11"/>
  <c r="N19" i="11"/>
  <c r="N35" i="11"/>
  <c r="N26" i="11"/>
  <c r="N42" i="11"/>
  <c r="N20" i="11"/>
  <c r="N12" i="11"/>
  <c r="N32" i="11"/>
  <c r="N17" i="11"/>
  <c r="N33" i="11"/>
  <c r="N23" i="11"/>
  <c r="N39" i="11"/>
  <c r="N13" i="11"/>
  <c r="N30" i="11"/>
  <c r="N14" i="11"/>
  <c r="N24" i="11"/>
  <c r="N36" i="11"/>
  <c r="N21" i="11"/>
  <c r="N37" i="11"/>
  <c r="N27" i="11"/>
  <c r="N18" i="11"/>
  <c r="N40" i="11"/>
  <c r="N25" i="11"/>
  <c r="N34" i="11"/>
  <c r="N41" i="11"/>
  <c r="N31" i="11"/>
  <c r="N28" i="11"/>
  <c r="R51" i="9"/>
  <c r="R30" i="9"/>
  <c r="R8" i="9"/>
  <c r="R11" i="9"/>
  <c r="R19" i="9"/>
  <c r="R27" i="9"/>
  <c r="R16" i="9"/>
  <c r="R24" i="9"/>
  <c r="U22" i="12"/>
  <c r="S22" i="24" s="1"/>
  <c r="S65" i="24" s="1"/>
  <c r="U22" i="13"/>
  <c r="R14" i="12"/>
  <c r="S14" i="12" s="1"/>
  <c r="S14" i="11"/>
  <c r="R14" i="13"/>
  <c r="S14" i="13" s="1"/>
  <c r="U29" i="12"/>
  <c r="S29" i="24" s="1"/>
  <c r="S72" i="24" s="1"/>
  <c r="U29" i="13"/>
  <c r="O12" i="12"/>
  <c r="O12" i="24" s="1"/>
  <c r="O55" i="24" s="1"/>
  <c r="O12" i="13"/>
  <c r="O19" i="12"/>
  <c r="O19" i="24" s="1"/>
  <c r="O62" i="24" s="1"/>
  <c r="O19" i="13"/>
  <c r="O25" i="12"/>
  <c r="O25" i="24" s="1"/>
  <c r="O68" i="24" s="1"/>
  <c r="O25" i="13"/>
  <c r="O31" i="12"/>
  <c r="O31" i="24" s="1"/>
  <c r="O74" i="24" s="1"/>
  <c r="O31" i="13"/>
  <c r="O14" i="12"/>
  <c r="O14" i="24" s="1"/>
  <c r="O57" i="24" s="1"/>
  <c r="O14" i="13"/>
  <c r="O40" i="12"/>
  <c r="O40" i="24" s="1"/>
  <c r="O83" i="24" s="1"/>
  <c r="O40" i="13"/>
  <c r="O10" i="12"/>
  <c r="O10" i="24" s="1"/>
  <c r="O53" i="24" s="1"/>
  <c r="O10" i="13"/>
  <c r="O9" i="12"/>
  <c r="O9" i="24" s="1"/>
  <c r="O52" i="24" s="1"/>
  <c r="O9" i="13"/>
  <c r="M43" i="7"/>
  <c r="M48" i="7"/>
  <c r="Q11" i="8"/>
  <c r="Q11" i="23" s="1"/>
  <c r="Q63" i="23" s="1"/>
  <c r="Q11" i="9"/>
  <c r="Q36" i="8"/>
  <c r="Q36" i="23" s="1"/>
  <c r="Q88" i="23" s="1"/>
  <c r="Q36" i="9"/>
  <c r="Q34" i="8"/>
  <c r="Q34" i="23" s="1"/>
  <c r="Q86" i="23" s="1"/>
  <c r="Q34" i="9"/>
  <c r="Q48" i="8"/>
  <c r="Q48" i="23" s="1"/>
  <c r="Q100" i="23" s="1"/>
  <c r="Q48" i="9"/>
  <c r="Q46" i="8"/>
  <c r="Q46" i="23" s="1"/>
  <c r="Q98" i="23" s="1"/>
  <c r="Q46" i="9"/>
  <c r="Q44" i="8"/>
  <c r="Q44" i="23" s="1"/>
  <c r="Q96" i="23" s="1"/>
  <c r="Q44" i="9"/>
  <c r="Q42" i="8"/>
  <c r="Q42" i="23" s="1"/>
  <c r="Q94" i="23" s="1"/>
  <c r="Q42" i="9"/>
  <c r="Q9" i="8"/>
  <c r="Q9" i="23" s="1"/>
  <c r="Q61" i="23" s="1"/>
  <c r="Q9" i="9"/>
  <c r="Q23" i="8"/>
  <c r="Q23" i="23" s="1"/>
  <c r="Q75" i="23" s="1"/>
  <c r="Q23" i="9"/>
  <c r="Q10" i="8"/>
  <c r="Q10" i="23" s="1"/>
  <c r="Q62" i="23" s="1"/>
  <c r="Q10" i="9"/>
  <c r="Q24" i="8"/>
  <c r="Q24" i="23" s="1"/>
  <c r="Q76" i="23" s="1"/>
  <c r="Q24" i="9"/>
  <c r="X53" i="7"/>
  <c r="X58" i="7" s="1"/>
  <c r="X6" i="8" s="1"/>
  <c r="W6" i="23" s="1"/>
  <c r="W58" i="23" s="1"/>
  <c r="X5" i="9"/>
  <c r="X10" i="9"/>
  <c r="X18" i="9"/>
  <c r="X26" i="9"/>
  <c r="X34" i="9"/>
  <c r="X40" i="9"/>
  <c r="X9" i="9"/>
  <c r="X17" i="9"/>
  <c r="X25" i="9"/>
  <c r="X33" i="9"/>
  <c r="X39" i="9"/>
  <c r="X47" i="9"/>
  <c r="L41" i="9"/>
  <c r="L35" i="9"/>
  <c r="L32" i="9"/>
  <c r="L34" i="9"/>
  <c r="L20" i="9"/>
  <c r="L46" i="9"/>
  <c r="L40" i="9"/>
  <c r="L53" i="7"/>
  <c r="L58" i="7" s="1"/>
  <c r="L18" i="8" s="1"/>
  <c r="L18" i="23" s="1"/>
  <c r="L70" i="23" s="1"/>
  <c r="L5" i="9"/>
  <c r="L21" i="9"/>
  <c r="L10" i="9"/>
  <c r="L24" i="9"/>
  <c r="P38" i="9"/>
  <c r="L39" i="9"/>
  <c r="M31" i="12"/>
  <c r="M31" i="24" s="1"/>
  <c r="M74" i="24" s="1"/>
  <c r="M31" i="13"/>
  <c r="R28" i="12"/>
  <c r="S28" i="12" s="1"/>
  <c r="S28" i="11"/>
  <c r="R28" i="13"/>
  <c r="S28" i="13" s="1"/>
  <c r="U6" i="9"/>
  <c r="U9" i="8"/>
  <c r="T9" i="23" s="1"/>
  <c r="T61" i="23" s="1"/>
  <c r="U9" i="9"/>
  <c r="U43" i="9"/>
  <c r="U14" i="8"/>
  <c r="T14" i="23" s="1"/>
  <c r="T66" i="23" s="1"/>
  <c r="U14" i="9"/>
  <c r="U22" i="9"/>
  <c r="U30" i="8"/>
  <c r="T30" i="23" s="1"/>
  <c r="T82" i="23" s="1"/>
  <c r="U36" i="9"/>
  <c r="U44" i="9"/>
  <c r="U15" i="9"/>
  <c r="U23" i="9"/>
  <c r="U31" i="9"/>
  <c r="U46" i="9"/>
  <c r="M49" i="7"/>
  <c r="M50" i="7"/>
  <c r="W6" i="9"/>
  <c r="W38" i="9"/>
  <c r="W48" i="9"/>
  <c r="W17" i="9"/>
  <c r="W25" i="9"/>
  <c r="W33" i="9"/>
  <c r="W39" i="9"/>
  <c r="W12" i="9"/>
  <c r="W20" i="9"/>
  <c r="W28" i="9"/>
  <c r="W46" i="9"/>
  <c r="M20" i="7"/>
  <c r="L42" i="9"/>
  <c r="Q37" i="8"/>
  <c r="Q37" i="23" s="1"/>
  <c r="Q89" i="23" s="1"/>
  <c r="Q37" i="9"/>
  <c r="O20" i="12"/>
  <c r="O20" i="24" s="1"/>
  <c r="O63" i="24" s="1"/>
  <c r="O20" i="13"/>
  <c r="O42" i="12"/>
  <c r="O42" i="24" s="1"/>
  <c r="O85" i="24" s="1"/>
  <c r="O42" i="13"/>
  <c r="R27" i="12"/>
  <c r="S27" i="12" s="1"/>
  <c r="S27" i="11"/>
  <c r="R27" i="13"/>
  <c r="S27" i="13" s="1"/>
  <c r="R20" i="12"/>
  <c r="S20" i="12" s="1"/>
  <c r="S20" i="11"/>
  <c r="R20" i="13"/>
  <c r="S20" i="13" s="1"/>
  <c r="R23" i="12"/>
  <c r="S23" i="12" s="1"/>
  <c r="S23" i="11"/>
  <c r="R23" i="13"/>
  <c r="S23" i="13" s="1"/>
  <c r="R15" i="12"/>
  <c r="S15" i="12" s="1"/>
  <c r="S15" i="11"/>
  <c r="R15" i="13"/>
  <c r="S15" i="13" s="1"/>
  <c r="R38" i="12"/>
  <c r="S38" i="12" s="1"/>
  <c r="S38" i="11"/>
  <c r="R38" i="13"/>
  <c r="S38" i="13" s="1"/>
  <c r="R7" i="12"/>
  <c r="S7" i="12" s="1"/>
  <c r="S7" i="11"/>
  <c r="R7" i="13"/>
  <c r="S7" i="13" s="1"/>
  <c r="R10" i="12"/>
  <c r="S10" i="12" s="1"/>
  <c r="S10" i="11"/>
  <c r="R10" i="13"/>
  <c r="S10" i="13" s="1"/>
  <c r="M45" i="7"/>
  <c r="AD21" i="7"/>
  <c r="AC21" i="9"/>
  <c r="AD21" i="9" s="1"/>
  <c r="AD43" i="7"/>
  <c r="AC43" i="9"/>
  <c r="AD43" i="9" s="1"/>
  <c r="AD45" i="7"/>
  <c r="AC45" i="9"/>
  <c r="AD45" i="9" s="1"/>
  <c r="AD39" i="7"/>
  <c r="AC39" i="9"/>
  <c r="AD39" i="9" s="1"/>
  <c r="AD41" i="7"/>
  <c r="AC41" i="9"/>
  <c r="AD41" i="9" s="1"/>
  <c r="AD51" i="7"/>
  <c r="AC51" i="9"/>
  <c r="AD51" i="9" s="1"/>
  <c r="AD5" i="7"/>
  <c r="AC53" i="7"/>
  <c r="AC58" i="7" s="1"/>
  <c r="AC47" i="8" s="1"/>
  <c r="AC5" i="9"/>
  <c r="AD10" i="7"/>
  <c r="AC10" i="9"/>
  <c r="AD10" i="9" s="1"/>
  <c r="AD18" i="7"/>
  <c r="AC18" i="9"/>
  <c r="AD18" i="9" s="1"/>
  <c r="AD13" i="7"/>
  <c r="AC13" i="9"/>
  <c r="AD13" i="9" s="1"/>
  <c r="AD25" i="7"/>
  <c r="AC25" i="9"/>
  <c r="AD25" i="9" s="1"/>
  <c r="M36" i="7"/>
  <c r="M22" i="7"/>
  <c r="O41" i="9"/>
  <c r="M32" i="12"/>
  <c r="M32" i="24" s="1"/>
  <c r="M75" i="24" s="1"/>
  <c r="M32" i="13"/>
  <c r="M22" i="12"/>
  <c r="M22" i="24" s="1"/>
  <c r="M65" i="24" s="1"/>
  <c r="M22" i="13"/>
  <c r="M33" i="12"/>
  <c r="M33" i="24" s="1"/>
  <c r="M76" i="24" s="1"/>
  <c r="M33" i="13"/>
  <c r="M29" i="12"/>
  <c r="M29" i="24" s="1"/>
  <c r="M72" i="24" s="1"/>
  <c r="M29" i="13"/>
  <c r="M39" i="12"/>
  <c r="M39" i="24" s="1"/>
  <c r="M82" i="24" s="1"/>
  <c r="M39" i="13"/>
  <c r="M19" i="12"/>
  <c r="M19" i="24" s="1"/>
  <c r="M62" i="24" s="1"/>
  <c r="M19" i="13"/>
  <c r="M5" i="12"/>
  <c r="M5" i="24" s="1"/>
  <c r="M48" i="24" s="1"/>
  <c r="M5" i="13"/>
  <c r="M44" i="11"/>
  <c r="M8" i="12"/>
  <c r="M8" i="24" s="1"/>
  <c r="M51" i="24" s="1"/>
  <c r="M8" i="13"/>
  <c r="U41" i="12"/>
  <c r="S41" i="24" s="1"/>
  <c r="S84" i="24" s="1"/>
  <c r="U41" i="13"/>
  <c r="U14" i="12"/>
  <c r="S14" i="24" s="1"/>
  <c r="S57" i="24" s="1"/>
  <c r="U14" i="13"/>
  <c r="U21" i="12"/>
  <c r="S21" i="24" s="1"/>
  <c r="S64" i="24" s="1"/>
  <c r="U21" i="13"/>
  <c r="U30" i="12"/>
  <c r="S30" i="24" s="1"/>
  <c r="S73" i="24" s="1"/>
  <c r="U30" i="13"/>
  <c r="U40" i="12"/>
  <c r="S40" i="24" s="1"/>
  <c r="S83" i="24" s="1"/>
  <c r="U40" i="13"/>
  <c r="U26" i="12"/>
  <c r="S26" i="24" s="1"/>
  <c r="S69" i="24" s="1"/>
  <c r="U26" i="13"/>
  <c r="U8" i="12"/>
  <c r="S8" i="24" s="1"/>
  <c r="S51" i="24" s="1"/>
  <c r="U8" i="13"/>
  <c r="U16" i="12"/>
  <c r="S16" i="24" s="1"/>
  <c r="S59" i="24" s="1"/>
  <c r="U16" i="13"/>
  <c r="M51" i="7"/>
  <c r="O38" i="9"/>
  <c r="O23" i="9"/>
  <c r="O34" i="9"/>
  <c r="O51" i="9"/>
  <c r="O45" i="9"/>
  <c r="O47" i="9"/>
  <c r="O53" i="7"/>
  <c r="O58" i="7" s="1"/>
  <c r="O28" i="8" s="1"/>
  <c r="O28" i="23" s="1"/>
  <c r="O80" i="23" s="1"/>
  <c r="O5" i="9"/>
  <c r="O10" i="9"/>
  <c r="O18" i="9"/>
  <c r="O13" i="9"/>
  <c r="O25" i="9"/>
  <c r="M38" i="7"/>
  <c r="P32" i="8"/>
  <c r="P32" i="23" s="1"/>
  <c r="P84" i="23" s="1"/>
  <c r="P32" i="9"/>
  <c r="P34" i="9"/>
  <c r="P43" i="8"/>
  <c r="P43" i="23" s="1"/>
  <c r="P95" i="23" s="1"/>
  <c r="P43" i="9"/>
  <c r="P40" i="9"/>
  <c r="P36" i="8"/>
  <c r="P36" i="23" s="1"/>
  <c r="P88" i="23" s="1"/>
  <c r="P36" i="9"/>
  <c r="P7" i="9"/>
  <c r="P14" i="8"/>
  <c r="P14" i="23" s="1"/>
  <c r="P66" i="23" s="1"/>
  <c r="P14" i="9"/>
  <c r="P22" i="9"/>
  <c r="P11" i="8"/>
  <c r="P11" i="23" s="1"/>
  <c r="P63" i="23" s="1"/>
  <c r="P11" i="9"/>
  <c r="P19" i="9"/>
  <c r="P27" i="8"/>
  <c r="P27" i="9"/>
  <c r="AH51" i="9"/>
  <c r="AH45" i="8"/>
  <c r="AD45" i="23" s="1"/>
  <c r="AD97" i="23" s="1"/>
  <c r="AH45" i="9"/>
  <c r="AH31" i="9"/>
  <c r="AH24" i="8"/>
  <c r="AD24" i="23" s="1"/>
  <c r="AD76" i="23" s="1"/>
  <c r="AH24" i="9"/>
  <c r="AH27" i="9"/>
  <c r="AH44" i="8"/>
  <c r="AD44" i="23" s="1"/>
  <c r="AD96" i="23" s="1"/>
  <c r="AH44" i="9"/>
  <c r="AH7" i="9"/>
  <c r="AH15" i="8"/>
  <c r="AD15" i="23" s="1"/>
  <c r="AD67" i="23" s="1"/>
  <c r="AH15" i="9"/>
  <c r="AH8" i="9"/>
  <c r="AH16" i="8"/>
  <c r="AD16" i="23" s="1"/>
  <c r="AD68" i="23" s="1"/>
  <c r="AH16" i="9"/>
  <c r="F4" i="5"/>
  <c r="D10" i="5"/>
  <c r="T56" i="6" s="1"/>
  <c r="E4" i="5"/>
  <c r="M10" i="26" l="1"/>
  <c r="X8" i="25"/>
  <c r="E11" i="26"/>
  <c r="E9" i="26"/>
  <c r="E14" i="26" s="1"/>
  <c r="I9" i="26"/>
  <c r="I15" i="26" s="1"/>
  <c r="I7" i="26"/>
  <c r="I13" i="26" s="1"/>
  <c r="P15" i="25"/>
  <c r="O15" i="25"/>
  <c r="C9" i="26"/>
  <c r="C15" i="26" s="1"/>
  <c r="C11" i="26"/>
  <c r="C7" i="26"/>
  <c r="E7" i="26"/>
  <c r="E13" i="26" s="1"/>
  <c r="AD47" i="8"/>
  <c r="AA47" i="23"/>
  <c r="AA99" i="23" s="1"/>
  <c r="Q22" i="8"/>
  <c r="Q22" i="23" s="1"/>
  <c r="Q74" i="23" s="1"/>
  <c r="Q21" i="8"/>
  <c r="Q21" i="23" s="1"/>
  <c r="Q73" i="23" s="1"/>
  <c r="Q33" i="8"/>
  <c r="Q33" i="23" s="1"/>
  <c r="Q85" i="23" s="1"/>
  <c r="Q17" i="24"/>
  <c r="Q60" i="24" s="1"/>
  <c r="Q13" i="24"/>
  <c r="Q56" i="24" s="1"/>
  <c r="Q16" i="24"/>
  <c r="Q59" i="24" s="1"/>
  <c r="Q42" i="24"/>
  <c r="Q85" i="24" s="1"/>
  <c r="Q15" i="24"/>
  <c r="Q58" i="24" s="1"/>
  <c r="AI20" i="9"/>
  <c r="AI29" i="9"/>
  <c r="AI40" i="9"/>
  <c r="AI30" i="9"/>
  <c r="AI14" i="9"/>
  <c r="AI9" i="9"/>
  <c r="AI39" i="9"/>
  <c r="AI34" i="9"/>
  <c r="AI36" i="9"/>
  <c r="AI31" i="9"/>
  <c r="AI24" i="9"/>
  <c r="Q21" i="24"/>
  <c r="Q64" i="24" s="1"/>
  <c r="Q29" i="24"/>
  <c r="Q72" i="24" s="1"/>
  <c r="Q25" i="8"/>
  <c r="Q25" i="23" s="1"/>
  <c r="Q77" i="23" s="1"/>
  <c r="Q35" i="24"/>
  <c r="Q78" i="24" s="1"/>
  <c r="Q40" i="24"/>
  <c r="Q83" i="24" s="1"/>
  <c r="Q12" i="24"/>
  <c r="Q55" i="24" s="1"/>
  <c r="Q9" i="24"/>
  <c r="Q52" i="24" s="1"/>
  <c r="Q33" i="24"/>
  <c r="Q76" i="24" s="1"/>
  <c r="Q34" i="24"/>
  <c r="Q77" i="24" s="1"/>
  <c r="Q10" i="24"/>
  <c r="Q53" i="24" s="1"/>
  <c r="Q23" i="24"/>
  <c r="Q66" i="24" s="1"/>
  <c r="AI11" i="9"/>
  <c r="AI8" i="9"/>
  <c r="AI43" i="9"/>
  <c r="AI19" i="9"/>
  <c r="AI42" i="9"/>
  <c r="AI47" i="9"/>
  <c r="AI17" i="9"/>
  <c r="AI48" i="9"/>
  <c r="AI51" i="9"/>
  <c r="AI44" i="9"/>
  <c r="AI37" i="9"/>
  <c r="AI32" i="9"/>
  <c r="Q8" i="24"/>
  <c r="Q51" i="24" s="1"/>
  <c r="Q39" i="24"/>
  <c r="Q82" i="24" s="1"/>
  <c r="Q17" i="8"/>
  <c r="Q17" i="23" s="1"/>
  <c r="Q69" i="23" s="1"/>
  <c r="Q11" i="24"/>
  <c r="Q54" i="24" s="1"/>
  <c r="Q26" i="24"/>
  <c r="Q69" i="24" s="1"/>
  <c r="Q41" i="24"/>
  <c r="Q84" i="24" s="1"/>
  <c r="Q22" i="24"/>
  <c r="Q65" i="24" s="1"/>
  <c r="Q30" i="24"/>
  <c r="Q73" i="24" s="1"/>
  <c r="Q7" i="24"/>
  <c r="Q50" i="24" s="1"/>
  <c r="Q20" i="24"/>
  <c r="Q63" i="24" s="1"/>
  <c r="AI27" i="9"/>
  <c r="AI6" i="9"/>
  <c r="AI22" i="9"/>
  <c r="AI46" i="9"/>
  <c r="AI21" i="9"/>
  <c r="AI10" i="9"/>
  <c r="AI25" i="9"/>
  <c r="AI18" i="9"/>
  <c r="AI28" i="9"/>
  <c r="AI15" i="9"/>
  <c r="AI45" i="9"/>
  <c r="AI49" i="9"/>
  <c r="Q25" i="24"/>
  <c r="Q68" i="24" s="1"/>
  <c r="Q6" i="24"/>
  <c r="Q49" i="24" s="1"/>
  <c r="G9" i="26" s="1"/>
  <c r="Q36" i="24"/>
  <c r="Q79" i="24" s="1"/>
  <c r="Q31" i="24"/>
  <c r="Q74" i="24" s="1"/>
  <c r="Q32" i="24"/>
  <c r="Q75" i="24" s="1"/>
  <c r="Q37" i="24"/>
  <c r="Q80" i="24" s="1"/>
  <c r="Q18" i="24"/>
  <c r="Q61" i="24" s="1"/>
  <c r="Q14" i="24"/>
  <c r="Q57" i="24" s="1"/>
  <c r="Q38" i="24"/>
  <c r="Q81" i="24" s="1"/>
  <c r="Q27" i="24"/>
  <c r="Q70" i="24" s="1"/>
  <c r="Q28" i="24"/>
  <c r="Q71" i="24" s="1"/>
  <c r="AI41" i="9"/>
  <c r="AI13" i="9"/>
  <c r="AI13" i="8"/>
  <c r="AE13" i="23" s="1"/>
  <c r="AE65" i="23" s="1"/>
  <c r="AI5" i="9"/>
  <c r="AI53" i="7"/>
  <c r="AI58" i="7" s="1"/>
  <c r="AI7" i="8" s="1"/>
  <c r="AE7" i="23" s="1"/>
  <c r="AE59" i="23" s="1"/>
  <c r="AI5" i="8"/>
  <c r="AE5" i="23" s="1"/>
  <c r="AE57" i="23" s="1"/>
  <c r="AI12" i="9"/>
  <c r="AI12" i="8"/>
  <c r="AE12" i="23" s="1"/>
  <c r="AE64" i="23" s="1"/>
  <c r="AI35" i="9"/>
  <c r="AI38" i="9"/>
  <c r="AI33" i="9"/>
  <c r="AI33" i="8"/>
  <c r="AE33" i="23" s="1"/>
  <c r="AE85" i="23" s="1"/>
  <c r="AI26" i="9"/>
  <c r="AI26" i="8"/>
  <c r="AE26" i="23" s="1"/>
  <c r="AE78" i="23" s="1"/>
  <c r="AI50" i="9"/>
  <c r="AI23" i="9"/>
  <c r="AI16" i="9"/>
  <c r="AI16" i="8"/>
  <c r="AE16" i="23" s="1"/>
  <c r="AE68" i="23" s="1"/>
  <c r="AI7" i="9"/>
  <c r="Q19" i="24"/>
  <c r="Q62" i="24" s="1"/>
  <c r="Q24" i="24"/>
  <c r="Q67" i="24" s="1"/>
  <c r="C13" i="26"/>
  <c r="P13" i="25"/>
  <c r="O13" i="25"/>
  <c r="P14" i="25"/>
  <c r="O14" i="25"/>
  <c r="U40" i="8"/>
  <c r="T40" i="23" s="1"/>
  <c r="T92" i="23" s="1"/>
  <c r="W28" i="8"/>
  <c r="V28" i="23" s="1"/>
  <c r="V80" i="23" s="1"/>
  <c r="W12" i="8"/>
  <c r="V12" i="23" s="1"/>
  <c r="V64" i="23" s="1"/>
  <c r="W33" i="8"/>
  <c r="V33" i="23" s="1"/>
  <c r="V85" i="23" s="1"/>
  <c r="W17" i="8"/>
  <c r="V17" i="23" s="1"/>
  <c r="V69" i="23" s="1"/>
  <c r="W38" i="8"/>
  <c r="V38" i="23" s="1"/>
  <c r="V90" i="23" s="1"/>
  <c r="U31" i="8"/>
  <c r="T31" i="23" s="1"/>
  <c r="T83" i="23" s="1"/>
  <c r="U15" i="8"/>
  <c r="T15" i="23" s="1"/>
  <c r="T67" i="23" s="1"/>
  <c r="U36" i="8"/>
  <c r="T36" i="23" s="1"/>
  <c r="T88" i="23" s="1"/>
  <c r="P12" i="8"/>
  <c r="P12" i="23" s="1"/>
  <c r="P64" i="23" s="1"/>
  <c r="W51" i="8"/>
  <c r="V51" i="23" s="1"/>
  <c r="V103" i="23" s="1"/>
  <c r="W26" i="8"/>
  <c r="V26" i="23" s="1"/>
  <c r="V78" i="23" s="1"/>
  <c r="W45" i="8"/>
  <c r="V45" i="23" s="1"/>
  <c r="V97" i="23" s="1"/>
  <c r="W31" i="8"/>
  <c r="V31" i="23" s="1"/>
  <c r="V83" i="23" s="1"/>
  <c r="W15" i="8"/>
  <c r="V15" i="23" s="1"/>
  <c r="V67" i="23" s="1"/>
  <c r="W36" i="8"/>
  <c r="V36" i="23" s="1"/>
  <c r="V88" i="23" s="1"/>
  <c r="U29" i="8"/>
  <c r="T29" i="23" s="1"/>
  <c r="T81" i="23" s="1"/>
  <c r="U13" i="8"/>
  <c r="T13" i="23" s="1"/>
  <c r="T65" i="23" s="1"/>
  <c r="U47" i="8"/>
  <c r="T47" i="23" s="1"/>
  <c r="T99" i="23" s="1"/>
  <c r="U20" i="8"/>
  <c r="T20" i="23" s="1"/>
  <c r="T72" i="23" s="1"/>
  <c r="U41" i="8"/>
  <c r="T41" i="23" s="1"/>
  <c r="T93" i="23" s="1"/>
  <c r="U26" i="8"/>
  <c r="T26" i="23" s="1"/>
  <c r="T78" i="23" s="1"/>
  <c r="W14" i="8"/>
  <c r="V14" i="23" s="1"/>
  <c r="V66" i="23" s="1"/>
  <c r="W11" i="8"/>
  <c r="V11" i="23" s="1"/>
  <c r="V63" i="23" s="1"/>
  <c r="P28" i="8"/>
  <c r="W39" i="8"/>
  <c r="V39" i="23" s="1"/>
  <c r="V91" i="23" s="1"/>
  <c r="W6" i="8"/>
  <c r="V6" i="23" s="1"/>
  <c r="V58" i="23" s="1"/>
  <c r="U23" i="8"/>
  <c r="T23" i="23" s="1"/>
  <c r="T75" i="23" s="1"/>
  <c r="L10" i="8"/>
  <c r="L10" i="23" s="1"/>
  <c r="L62" i="23" s="1"/>
  <c r="P25" i="8"/>
  <c r="P25" i="23" s="1"/>
  <c r="P77" i="23" s="1"/>
  <c r="W34" i="8"/>
  <c r="V34" i="23" s="1"/>
  <c r="V86" i="23" s="1"/>
  <c r="W18" i="8"/>
  <c r="V18" i="23" s="1"/>
  <c r="V70" i="23" s="1"/>
  <c r="W37" i="8"/>
  <c r="V37" i="23" s="1"/>
  <c r="V89" i="23" s="1"/>
  <c r="W23" i="8"/>
  <c r="V23" i="23" s="1"/>
  <c r="V75" i="23" s="1"/>
  <c r="W44" i="8"/>
  <c r="V44" i="23" s="1"/>
  <c r="V96" i="23" s="1"/>
  <c r="W9" i="8"/>
  <c r="V9" i="23" s="1"/>
  <c r="V61" i="23" s="1"/>
  <c r="U51" i="8"/>
  <c r="T51" i="23" s="1"/>
  <c r="T103" i="23" s="1"/>
  <c r="U21" i="8"/>
  <c r="T21" i="23" s="1"/>
  <c r="T73" i="23" s="1"/>
  <c r="U42" i="8"/>
  <c r="T42" i="23" s="1"/>
  <c r="T94" i="23" s="1"/>
  <c r="U28" i="8"/>
  <c r="T28" i="23" s="1"/>
  <c r="T80" i="23" s="1"/>
  <c r="U12" i="8"/>
  <c r="T12" i="23" s="1"/>
  <c r="T64" i="23" s="1"/>
  <c r="U7" i="8"/>
  <c r="T7" i="23" s="1"/>
  <c r="T59" i="23" s="1"/>
  <c r="W41" i="8"/>
  <c r="V41" i="23" s="1"/>
  <c r="V93" i="23" s="1"/>
  <c r="W5" i="8"/>
  <c r="V5" i="23" s="1"/>
  <c r="V57" i="23" s="1"/>
  <c r="W30" i="8"/>
  <c r="V30" i="23" s="1"/>
  <c r="V82" i="23" s="1"/>
  <c r="W27" i="8"/>
  <c r="V27" i="23" s="1"/>
  <c r="V79" i="23" s="1"/>
  <c r="W46" i="8"/>
  <c r="V46" i="23" s="1"/>
  <c r="V98" i="23" s="1"/>
  <c r="W20" i="8"/>
  <c r="V20" i="23" s="1"/>
  <c r="V72" i="23" s="1"/>
  <c r="W25" i="8"/>
  <c r="V25" i="23" s="1"/>
  <c r="V77" i="23" s="1"/>
  <c r="W48" i="8"/>
  <c r="V48" i="23" s="1"/>
  <c r="V100" i="23" s="1"/>
  <c r="U46" i="8"/>
  <c r="T46" i="23" s="1"/>
  <c r="T98" i="23" s="1"/>
  <c r="U44" i="8"/>
  <c r="T44" i="23" s="1"/>
  <c r="T96" i="23" s="1"/>
  <c r="AH8" i="8"/>
  <c r="AD8" i="23" s="1"/>
  <c r="AD60" i="23" s="1"/>
  <c r="AH7" i="8"/>
  <c r="AD7" i="23" s="1"/>
  <c r="AD59" i="23" s="1"/>
  <c r="AH27" i="8"/>
  <c r="AD27" i="23" s="1"/>
  <c r="AD79" i="23" s="1"/>
  <c r="AH31" i="8"/>
  <c r="AD31" i="23" s="1"/>
  <c r="AD83" i="23" s="1"/>
  <c r="AH51" i="8"/>
  <c r="AD51" i="23" s="1"/>
  <c r="AD103" i="23" s="1"/>
  <c r="P19" i="8"/>
  <c r="P19" i="23" s="1"/>
  <c r="P71" i="23" s="1"/>
  <c r="P22" i="8"/>
  <c r="P7" i="8"/>
  <c r="P7" i="23" s="1"/>
  <c r="P59" i="23" s="1"/>
  <c r="P40" i="8"/>
  <c r="P40" i="23" s="1"/>
  <c r="P92" i="23" s="1"/>
  <c r="P34" i="8"/>
  <c r="P34" i="23" s="1"/>
  <c r="P86" i="23" s="1"/>
  <c r="U22" i="8"/>
  <c r="T22" i="23" s="1"/>
  <c r="T74" i="23" s="1"/>
  <c r="U43" i="8"/>
  <c r="T43" i="23" s="1"/>
  <c r="T95" i="23" s="1"/>
  <c r="U6" i="8"/>
  <c r="T6" i="23" s="1"/>
  <c r="T58" i="23" s="1"/>
  <c r="P38" i="8"/>
  <c r="P38" i="23" s="1"/>
  <c r="P90" i="23" s="1"/>
  <c r="X18" i="8"/>
  <c r="W18" i="23" s="1"/>
  <c r="W70" i="23" s="1"/>
  <c r="Q19" i="8"/>
  <c r="Q19" i="23" s="1"/>
  <c r="Q71" i="23" s="1"/>
  <c r="Q31" i="8"/>
  <c r="Q31" i="23" s="1"/>
  <c r="Q83" i="23" s="1"/>
  <c r="Q50" i="8"/>
  <c r="Q50" i="23" s="1"/>
  <c r="Q102" i="23" s="1"/>
  <c r="Q39" i="8"/>
  <c r="Q39" i="23" s="1"/>
  <c r="Q91" i="23" s="1"/>
  <c r="Q40" i="8"/>
  <c r="Q40" i="23" s="1"/>
  <c r="Q92" i="23" s="1"/>
  <c r="W32" i="8"/>
  <c r="V32" i="23" s="1"/>
  <c r="V84" i="23" s="1"/>
  <c r="W16" i="8"/>
  <c r="V16" i="23" s="1"/>
  <c r="V68" i="23" s="1"/>
  <c r="W50" i="8"/>
  <c r="V50" i="23" s="1"/>
  <c r="V102" i="23" s="1"/>
  <c r="W21" i="8"/>
  <c r="V21" i="23" s="1"/>
  <c r="V73" i="23" s="1"/>
  <c r="W42" i="8"/>
  <c r="V42" i="23" s="1"/>
  <c r="V94" i="23" s="1"/>
  <c r="W7" i="8"/>
  <c r="V7" i="23" s="1"/>
  <c r="V59" i="23" s="1"/>
  <c r="U35" i="8"/>
  <c r="T35" i="23" s="1"/>
  <c r="T87" i="23" s="1"/>
  <c r="U11" i="8"/>
  <c r="T11" i="23" s="1"/>
  <c r="T63" i="23" s="1"/>
  <c r="U10" i="8"/>
  <c r="T10" i="23" s="1"/>
  <c r="T62" i="23" s="1"/>
  <c r="W47" i="8"/>
  <c r="V47" i="23" s="1"/>
  <c r="V99" i="23" s="1"/>
  <c r="W8" i="8"/>
  <c r="V8" i="23" s="1"/>
  <c r="V60" i="23" s="1"/>
  <c r="O18" i="8"/>
  <c r="O18" i="23" s="1"/>
  <c r="O70" i="23" s="1"/>
  <c r="AC25" i="8"/>
  <c r="O5" i="8"/>
  <c r="O5" i="23" s="1"/>
  <c r="O57" i="23" s="1"/>
  <c r="O45" i="8"/>
  <c r="O45" i="23" s="1"/>
  <c r="O97" i="23" s="1"/>
  <c r="O34" i="8"/>
  <c r="O34" i="23" s="1"/>
  <c r="O86" i="23" s="1"/>
  <c r="O38" i="8"/>
  <c r="O38" i="23" s="1"/>
  <c r="O90" i="23" s="1"/>
  <c r="M22" i="9"/>
  <c r="AC10" i="8"/>
  <c r="AC5" i="8"/>
  <c r="AA5" i="23" s="1"/>
  <c r="AA57" i="23" s="1"/>
  <c r="AC45" i="8"/>
  <c r="M45" i="9"/>
  <c r="M49" i="9"/>
  <c r="L5" i="8"/>
  <c r="L5" i="23" s="1"/>
  <c r="L57" i="23" s="1"/>
  <c r="L46" i="8"/>
  <c r="L46" i="23" s="1"/>
  <c r="L98" i="23" s="1"/>
  <c r="L34" i="8"/>
  <c r="L34" i="23" s="1"/>
  <c r="L86" i="23" s="1"/>
  <c r="L35" i="8"/>
  <c r="L35" i="23" s="1"/>
  <c r="L87" i="23" s="1"/>
  <c r="X47" i="8"/>
  <c r="W47" i="23" s="1"/>
  <c r="W99" i="23" s="1"/>
  <c r="X33" i="8"/>
  <c r="W33" i="23" s="1"/>
  <c r="W85" i="23" s="1"/>
  <c r="X17" i="8"/>
  <c r="W17" i="23" s="1"/>
  <c r="W69" i="23" s="1"/>
  <c r="X40" i="8"/>
  <c r="W40" i="23" s="1"/>
  <c r="W92" i="23" s="1"/>
  <c r="X5" i="8"/>
  <c r="W5" i="23" s="1"/>
  <c r="W57" i="23" s="1"/>
  <c r="M43" i="9"/>
  <c r="N28" i="12"/>
  <c r="N28" i="24" s="1"/>
  <c r="N71" i="24" s="1"/>
  <c r="N28" i="13"/>
  <c r="N25" i="12"/>
  <c r="N25" i="24" s="1"/>
  <c r="N68" i="24" s="1"/>
  <c r="N25" i="13"/>
  <c r="N37" i="12"/>
  <c r="N37" i="24" s="1"/>
  <c r="N80" i="24" s="1"/>
  <c r="N37" i="13"/>
  <c r="N14" i="12"/>
  <c r="N14" i="24" s="1"/>
  <c r="N57" i="24" s="1"/>
  <c r="N14" i="13"/>
  <c r="N23" i="12"/>
  <c r="N23" i="24" s="1"/>
  <c r="N66" i="24" s="1"/>
  <c r="N23" i="13"/>
  <c r="N12" i="12"/>
  <c r="N12" i="24" s="1"/>
  <c r="N55" i="24" s="1"/>
  <c r="N12" i="13"/>
  <c r="N35" i="12"/>
  <c r="N35" i="24" s="1"/>
  <c r="N78" i="24" s="1"/>
  <c r="N35" i="13"/>
  <c r="N38" i="12"/>
  <c r="N38" i="24" s="1"/>
  <c r="N81" i="24" s="1"/>
  <c r="N38" i="13"/>
  <c r="N9" i="12"/>
  <c r="N9" i="24" s="1"/>
  <c r="N52" i="24" s="1"/>
  <c r="N9" i="13"/>
  <c r="N10" i="12"/>
  <c r="N10" i="24" s="1"/>
  <c r="N53" i="24" s="1"/>
  <c r="N10" i="13"/>
  <c r="M53" i="7"/>
  <c r="M58" i="7" s="1"/>
  <c r="M33" i="8" s="1"/>
  <c r="M33" i="23" s="1"/>
  <c r="M85" i="23" s="1"/>
  <c r="M5" i="9"/>
  <c r="M15" i="9"/>
  <c r="V9" i="9"/>
  <c r="V17" i="9"/>
  <c r="V25" i="9"/>
  <c r="V33" i="9"/>
  <c r="V39" i="9"/>
  <c r="V8" i="9"/>
  <c r="V16" i="9"/>
  <c r="V24" i="9"/>
  <c r="V32" i="9"/>
  <c r="V38" i="9"/>
  <c r="V49" i="9"/>
  <c r="AH5" i="8"/>
  <c r="AD5" i="23" s="1"/>
  <c r="AD57" i="23" s="1"/>
  <c r="AH43" i="8"/>
  <c r="AD43" i="23" s="1"/>
  <c r="AD95" i="23" s="1"/>
  <c r="AH47" i="8"/>
  <c r="AD47" i="23" s="1"/>
  <c r="AD99" i="23" s="1"/>
  <c r="AH23" i="8"/>
  <c r="AD23" i="23" s="1"/>
  <c r="AD75" i="23" s="1"/>
  <c r="P17" i="8"/>
  <c r="P17" i="23" s="1"/>
  <c r="P69" i="23" s="1"/>
  <c r="P20" i="8"/>
  <c r="P20" i="23" s="1"/>
  <c r="P72" i="23" s="1"/>
  <c r="M30" i="8"/>
  <c r="M30" i="23" s="1"/>
  <c r="M82" i="23" s="1"/>
  <c r="M30" i="9"/>
  <c r="O11" i="8"/>
  <c r="O11" i="23" s="1"/>
  <c r="O63" i="23" s="1"/>
  <c r="O8" i="8"/>
  <c r="O8" i="23" s="1"/>
  <c r="O60" i="23" s="1"/>
  <c r="O32" i="8"/>
  <c r="O32" i="23" s="1"/>
  <c r="O84" i="23" s="1"/>
  <c r="O36" i="8"/>
  <c r="O36" i="23" s="1"/>
  <c r="O88" i="23" s="1"/>
  <c r="O40" i="8"/>
  <c r="O40" i="23" s="1"/>
  <c r="O92" i="23" s="1"/>
  <c r="AH39" i="8"/>
  <c r="AD39" i="23" s="1"/>
  <c r="AD91" i="23" s="1"/>
  <c r="AC11" i="8"/>
  <c r="AC28" i="8"/>
  <c r="AC36" i="8"/>
  <c r="S5" i="13"/>
  <c r="S44" i="13" s="1"/>
  <c r="R44" i="13"/>
  <c r="AC31" i="8"/>
  <c r="AC23" i="8"/>
  <c r="X53" i="9"/>
  <c r="Q53" i="9"/>
  <c r="Y25" i="7"/>
  <c r="Y19" i="7"/>
  <c r="Y17" i="7"/>
  <c r="Y15" i="7"/>
  <c r="Y13" i="7"/>
  <c r="Y11" i="7"/>
  <c r="Y20" i="7"/>
  <c r="Y18" i="7"/>
  <c r="Y16" i="7"/>
  <c r="Y14" i="7"/>
  <c r="Y12" i="7"/>
  <c r="Y10" i="7"/>
  <c r="Y8" i="7"/>
  <c r="Y7" i="7"/>
  <c r="Y5" i="7"/>
  <c r="Y9" i="7"/>
  <c r="Y6" i="7"/>
  <c r="Y23" i="7"/>
  <c r="Y40" i="7"/>
  <c r="Y33" i="7"/>
  <c r="Y49" i="7"/>
  <c r="Y26" i="7"/>
  <c r="Y42" i="7"/>
  <c r="Y22" i="7"/>
  <c r="Y39" i="7"/>
  <c r="Y28" i="7"/>
  <c r="Y44" i="7"/>
  <c r="Y24" i="7"/>
  <c r="Y37" i="7"/>
  <c r="Y30" i="7"/>
  <c r="Y46" i="7"/>
  <c r="Y27" i="7"/>
  <c r="Y43" i="7"/>
  <c r="Y32" i="7"/>
  <c r="Y48" i="7"/>
  <c r="Y29" i="7"/>
  <c r="Y41" i="7"/>
  <c r="Y34" i="7"/>
  <c r="Y50" i="7"/>
  <c r="Y31" i="7"/>
  <c r="Y47" i="7"/>
  <c r="Y36" i="7"/>
  <c r="Y38" i="7"/>
  <c r="Y51" i="7"/>
  <c r="Y45" i="7"/>
  <c r="Y21" i="7"/>
  <c r="Y35" i="7"/>
  <c r="AH12" i="8"/>
  <c r="AD12" i="23" s="1"/>
  <c r="AD64" i="23" s="1"/>
  <c r="AH11" i="8"/>
  <c r="AD11" i="23" s="1"/>
  <c r="AD63" i="23" s="1"/>
  <c r="AH30" i="8"/>
  <c r="AD30" i="23" s="1"/>
  <c r="AD82" i="23" s="1"/>
  <c r="AH34" i="8"/>
  <c r="AD34" i="23" s="1"/>
  <c r="AD86" i="23" s="1"/>
  <c r="AH38" i="8"/>
  <c r="AD38" i="23" s="1"/>
  <c r="AD90" i="23" s="1"/>
  <c r="P23" i="8"/>
  <c r="P26" i="8"/>
  <c r="P10" i="8"/>
  <c r="P10" i="23" s="1"/>
  <c r="P62" i="23" s="1"/>
  <c r="P42" i="8"/>
  <c r="P42" i="23" s="1"/>
  <c r="P94" i="23" s="1"/>
  <c r="P33" i="8"/>
  <c r="P33" i="23" s="1"/>
  <c r="P85" i="23" s="1"/>
  <c r="P37" i="8"/>
  <c r="P37" i="23" s="1"/>
  <c r="P89" i="23" s="1"/>
  <c r="M27" i="8"/>
  <c r="M27" i="23" s="1"/>
  <c r="M79" i="23" s="1"/>
  <c r="M27" i="9"/>
  <c r="AC6" i="8"/>
  <c r="AC48" i="8"/>
  <c r="M25" i="8"/>
  <c r="M25" i="23" s="1"/>
  <c r="M77" i="23" s="1"/>
  <c r="M25" i="9"/>
  <c r="W53" i="9"/>
  <c r="U50" i="8"/>
  <c r="T50" i="23" s="1"/>
  <c r="T102" i="23" s="1"/>
  <c r="U19" i="8"/>
  <c r="T19" i="23" s="1"/>
  <c r="T71" i="23" s="1"/>
  <c r="U34" i="8"/>
  <c r="T34" i="23" s="1"/>
  <c r="T86" i="23" s="1"/>
  <c r="U18" i="8"/>
  <c r="T18" i="23" s="1"/>
  <c r="T70" i="23" s="1"/>
  <c r="U39" i="8"/>
  <c r="T39" i="23" s="1"/>
  <c r="T91" i="23" s="1"/>
  <c r="U53" i="9"/>
  <c r="AC37" i="8"/>
  <c r="O44" i="12"/>
  <c r="P32" i="12"/>
  <c r="P32" i="24" s="1"/>
  <c r="P75" i="24" s="1"/>
  <c r="P32" i="13"/>
  <c r="P19" i="12"/>
  <c r="P19" i="24" s="1"/>
  <c r="P62" i="24" s="1"/>
  <c r="P19" i="13"/>
  <c r="P41" i="12"/>
  <c r="P41" i="24" s="1"/>
  <c r="P84" i="24" s="1"/>
  <c r="P41" i="13"/>
  <c r="P18" i="12"/>
  <c r="P18" i="24" s="1"/>
  <c r="P61" i="24" s="1"/>
  <c r="P18" i="13"/>
  <c r="P40" i="12"/>
  <c r="P40" i="24" s="1"/>
  <c r="P83" i="24" s="1"/>
  <c r="P40" i="13"/>
  <c r="P39" i="12"/>
  <c r="P39" i="24" s="1"/>
  <c r="P82" i="24" s="1"/>
  <c r="P39" i="13"/>
  <c r="P36" i="12"/>
  <c r="P36" i="24" s="1"/>
  <c r="P79" i="24" s="1"/>
  <c r="P36" i="13"/>
  <c r="P26" i="12"/>
  <c r="P26" i="24" s="1"/>
  <c r="P69" i="24" s="1"/>
  <c r="P26" i="13"/>
  <c r="P11" i="12"/>
  <c r="P11" i="24" s="1"/>
  <c r="P54" i="24" s="1"/>
  <c r="P11" i="13"/>
  <c r="P16" i="12"/>
  <c r="P16" i="24" s="1"/>
  <c r="P59" i="24" s="1"/>
  <c r="P16" i="13"/>
  <c r="AH10" i="8"/>
  <c r="AD10" i="23" s="1"/>
  <c r="AD62" i="23" s="1"/>
  <c r="AH9" i="8"/>
  <c r="AD9" i="23" s="1"/>
  <c r="AD61" i="23" s="1"/>
  <c r="AH46" i="8"/>
  <c r="AD46" i="23" s="1"/>
  <c r="AD98" i="23" s="1"/>
  <c r="AH50" i="8"/>
  <c r="AD50" i="23" s="1"/>
  <c r="AD102" i="23" s="1"/>
  <c r="AH35" i="8"/>
  <c r="AD35" i="23" s="1"/>
  <c r="AD87" i="23" s="1"/>
  <c r="P21" i="8"/>
  <c r="P24" i="8"/>
  <c r="P8" i="8"/>
  <c r="P8" i="23" s="1"/>
  <c r="P60" i="23" s="1"/>
  <c r="P39" i="8"/>
  <c r="P39" i="23" s="1"/>
  <c r="P91" i="23" s="1"/>
  <c r="P49" i="8"/>
  <c r="P49" i="23" s="1"/>
  <c r="P101" i="23" s="1"/>
  <c r="M39" i="8"/>
  <c r="M39" i="23" s="1"/>
  <c r="M91" i="23" s="1"/>
  <c r="M39" i="9"/>
  <c r="O20" i="8"/>
  <c r="O20" i="23" s="1"/>
  <c r="O72" i="23" s="1"/>
  <c r="O7" i="8"/>
  <c r="O7" i="23" s="1"/>
  <c r="O59" i="23" s="1"/>
  <c r="O29" i="8"/>
  <c r="O29" i="23" s="1"/>
  <c r="O81" i="23" s="1"/>
  <c r="O49" i="8"/>
  <c r="O49" i="23" s="1"/>
  <c r="O101" i="23" s="1"/>
  <c r="O21" i="8"/>
  <c r="O21" i="23" s="1"/>
  <c r="O73" i="23" s="1"/>
  <c r="U44" i="12"/>
  <c r="M44" i="8"/>
  <c r="M44" i="23" s="1"/>
  <c r="M96" i="23" s="1"/>
  <c r="M44" i="9"/>
  <c r="AC35" i="8"/>
  <c r="AC29" i="8"/>
  <c r="M13" i="8"/>
  <c r="M13" i="23" s="1"/>
  <c r="M65" i="23" s="1"/>
  <c r="M13" i="9"/>
  <c r="W22" i="8"/>
  <c r="V22" i="23" s="1"/>
  <c r="V74" i="23" s="1"/>
  <c r="W35" i="8"/>
  <c r="V35" i="23" s="1"/>
  <c r="V87" i="23" s="1"/>
  <c r="W19" i="8"/>
  <c r="V19" i="23" s="1"/>
  <c r="V71" i="23" s="1"/>
  <c r="AB8" i="7"/>
  <c r="M26" i="9"/>
  <c r="AB33" i="7"/>
  <c r="AB25" i="7"/>
  <c r="U38" i="8"/>
  <c r="T38" i="23" s="1"/>
  <c r="T90" i="23" s="1"/>
  <c r="U24" i="8"/>
  <c r="T24" i="23" s="1"/>
  <c r="T76" i="23" s="1"/>
  <c r="U45" i="8"/>
  <c r="T45" i="23" s="1"/>
  <c r="T97" i="23" s="1"/>
  <c r="L26" i="8"/>
  <c r="L26" i="23" s="1"/>
  <c r="L78" i="23" s="1"/>
  <c r="L23" i="8"/>
  <c r="L23" i="23" s="1"/>
  <c r="L75" i="23" s="1"/>
  <c r="L12" i="8"/>
  <c r="L12" i="23" s="1"/>
  <c r="L64" i="23" s="1"/>
  <c r="L7" i="8"/>
  <c r="L7" i="23" s="1"/>
  <c r="L59" i="23" s="1"/>
  <c r="L47" i="8"/>
  <c r="L47" i="23" s="1"/>
  <c r="L99" i="23" s="1"/>
  <c r="L17" i="8"/>
  <c r="L17" i="23" s="1"/>
  <c r="L69" i="23" s="1"/>
  <c r="X41" i="8"/>
  <c r="W41" i="23" s="1"/>
  <c r="W93" i="23" s="1"/>
  <c r="X27" i="8"/>
  <c r="W27" i="23" s="1"/>
  <c r="W79" i="23" s="1"/>
  <c r="X11" i="8"/>
  <c r="W11" i="23" s="1"/>
  <c r="W63" i="23" s="1"/>
  <c r="X46" i="8"/>
  <c r="W46" i="23" s="1"/>
  <c r="W98" i="23" s="1"/>
  <c r="X20" i="8"/>
  <c r="W20" i="23" s="1"/>
  <c r="W72" i="23" s="1"/>
  <c r="X7" i="8"/>
  <c r="W7" i="23" s="1"/>
  <c r="W59" i="23" s="1"/>
  <c r="Q14" i="8"/>
  <c r="Q14" i="23" s="1"/>
  <c r="Q66" i="23" s="1"/>
  <c r="Q13" i="8"/>
  <c r="Q13" i="23" s="1"/>
  <c r="Q65" i="23" s="1"/>
  <c r="Q20" i="8"/>
  <c r="Q20" i="23" s="1"/>
  <c r="Q72" i="23" s="1"/>
  <c r="Q32" i="8"/>
  <c r="Q32" i="23" s="1"/>
  <c r="Q84" i="23" s="1"/>
  <c r="Q51" i="8"/>
  <c r="Q51" i="23" s="1"/>
  <c r="Q103" i="23" s="1"/>
  <c r="M18" i="9"/>
  <c r="V31" i="12"/>
  <c r="T31" i="24" s="1"/>
  <c r="T74" i="24" s="1"/>
  <c r="V31" i="13"/>
  <c r="V28" i="12"/>
  <c r="T28" i="24" s="1"/>
  <c r="T71" i="24" s="1"/>
  <c r="V28" i="13"/>
  <c r="V33" i="12"/>
  <c r="T33" i="24" s="1"/>
  <c r="T76" i="24" s="1"/>
  <c r="V33" i="13"/>
  <c r="V39" i="12"/>
  <c r="T39" i="24" s="1"/>
  <c r="T82" i="24" s="1"/>
  <c r="V39" i="13"/>
  <c r="V12" i="12"/>
  <c r="T12" i="24" s="1"/>
  <c r="T55" i="24" s="1"/>
  <c r="V12" i="13"/>
  <c r="V35" i="12"/>
  <c r="T35" i="24" s="1"/>
  <c r="T78" i="24" s="1"/>
  <c r="V35" i="13"/>
  <c r="V41" i="12"/>
  <c r="T41" i="24" s="1"/>
  <c r="T84" i="24" s="1"/>
  <c r="V41" i="13"/>
  <c r="V5" i="12"/>
  <c r="T5" i="24" s="1"/>
  <c r="T48" i="24" s="1"/>
  <c r="V44" i="11"/>
  <c r="V5" i="13"/>
  <c r="V6" i="12"/>
  <c r="T6" i="24" s="1"/>
  <c r="T49" i="24" s="1"/>
  <c r="V6" i="13"/>
  <c r="E35" i="5"/>
  <c r="L46" i="13"/>
  <c r="L46" i="12"/>
  <c r="L46" i="10"/>
  <c r="L46" i="11"/>
  <c r="AA18" i="11"/>
  <c r="Z18" i="12"/>
  <c r="AA18" i="12" s="1"/>
  <c r="Z18" i="13"/>
  <c r="AA18" i="13" s="1"/>
  <c r="AA29" i="11"/>
  <c r="Z29" i="12"/>
  <c r="AA29" i="12" s="1"/>
  <c r="Z29" i="13"/>
  <c r="AA29" i="13" s="1"/>
  <c r="AA35" i="11"/>
  <c r="Z35" i="12"/>
  <c r="AA35" i="12" s="1"/>
  <c r="Z35" i="13"/>
  <c r="AA35" i="13" s="1"/>
  <c r="AA41" i="11"/>
  <c r="Z41" i="12"/>
  <c r="AA41" i="12" s="1"/>
  <c r="Z41" i="13"/>
  <c r="AA41" i="13" s="1"/>
  <c r="AA31" i="11"/>
  <c r="Z31" i="12"/>
  <c r="AA31" i="12" s="1"/>
  <c r="Z31" i="13"/>
  <c r="AA31" i="13" s="1"/>
  <c r="AA37" i="11"/>
  <c r="Z37" i="12"/>
  <c r="AA37" i="12" s="1"/>
  <c r="Z37" i="13"/>
  <c r="AA37" i="13" s="1"/>
  <c r="AA38" i="11"/>
  <c r="Z38" i="12"/>
  <c r="AA38" i="12" s="1"/>
  <c r="Z38" i="13"/>
  <c r="AA38" i="13" s="1"/>
  <c r="Z6" i="12"/>
  <c r="AA6" i="12" s="1"/>
  <c r="AA6" i="11"/>
  <c r="Z6" i="13"/>
  <c r="AA6" i="13" s="1"/>
  <c r="Z9" i="12"/>
  <c r="AA9" i="12" s="1"/>
  <c r="AA9" i="11"/>
  <c r="Z9" i="13"/>
  <c r="AA9" i="13" s="1"/>
  <c r="T33" i="12"/>
  <c r="R33" i="24" s="1"/>
  <c r="R76" i="24" s="1"/>
  <c r="W33" i="11"/>
  <c r="T33" i="13"/>
  <c r="W33" i="13" s="1"/>
  <c r="T20" i="12"/>
  <c r="R20" i="24" s="1"/>
  <c r="R63" i="24" s="1"/>
  <c r="W20" i="11"/>
  <c r="T20" i="13"/>
  <c r="T26" i="12"/>
  <c r="R26" i="24" s="1"/>
  <c r="R69" i="24" s="1"/>
  <c r="W26" i="11"/>
  <c r="T26" i="13"/>
  <c r="T15" i="12"/>
  <c r="R15" i="24" s="1"/>
  <c r="R58" i="24" s="1"/>
  <c r="W15" i="11"/>
  <c r="T15" i="13"/>
  <c r="T22" i="12"/>
  <c r="R22" i="24" s="1"/>
  <c r="R65" i="24" s="1"/>
  <c r="W22" i="11"/>
  <c r="T22" i="13"/>
  <c r="T23" i="12"/>
  <c r="R23" i="24" s="1"/>
  <c r="R66" i="24" s="1"/>
  <c r="W23" i="11"/>
  <c r="T23" i="13"/>
  <c r="T37" i="12"/>
  <c r="R37" i="24" s="1"/>
  <c r="R80" i="24" s="1"/>
  <c r="W37" i="11"/>
  <c r="T37" i="13"/>
  <c r="T19" i="12"/>
  <c r="R19" i="24" s="1"/>
  <c r="R62" i="24" s="1"/>
  <c r="W19" i="11"/>
  <c r="T19" i="13"/>
  <c r="T7" i="12"/>
  <c r="R7" i="24" s="1"/>
  <c r="R50" i="24" s="1"/>
  <c r="W7" i="11"/>
  <c r="T7" i="13"/>
  <c r="T16" i="12"/>
  <c r="R16" i="24" s="1"/>
  <c r="R59" i="24" s="1"/>
  <c r="W16" i="11"/>
  <c r="T16" i="13"/>
  <c r="N56" i="9"/>
  <c r="N56" i="8"/>
  <c r="N56" i="7"/>
  <c r="M44" i="12"/>
  <c r="O41" i="8"/>
  <c r="O41" i="23" s="1"/>
  <c r="O93" i="23" s="1"/>
  <c r="N55" i="9"/>
  <c r="N55" i="8"/>
  <c r="N55" i="7"/>
  <c r="T54" i="8"/>
  <c r="T54" i="9"/>
  <c r="T54" i="7"/>
  <c r="M38" i="8"/>
  <c r="M38" i="23" s="1"/>
  <c r="M90" i="23" s="1"/>
  <c r="M38" i="9"/>
  <c r="O13" i="8"/>
  <c r="O13" i="23" s="1"/>
  <c r="O65" i="23" s="1"/>
  <c r="O10" i="8"/>
  <c r="O10" i="23" s="1"/>
  <c r="O62" i="23" s="1"/>
  <c r="M51" i="8"/>
  <c r="M51" i="23" s="1"/>
  <c r="M103" i="23" s="1"/>
  <c r="M51" i="9"/>
  <c r="M36" i="9"/>
  <c r="AC18" i="8"/>
  <c r="AD53" i="7"/>
  <c r="AC39" i="8"/>
  <c r="L42" i="8"/>
  <c r="L42" i="23" s="1"/>
  <c r="L94" i="23" s="1"/>
  <c r="L39" i="8"/>
  <c r="L39" i="23" s="1"/>
  <c r="L91" i="23" s="1"/>
  <c r="L24" i="8"/>
  <c r="L24" i="23" s="1"/>
  <c r="L76" i="23" s="1"/>
  <c r="L21" i="8"/>
  <c r="L21" i="23" s="1"/>
  <c r="L73" i="23" s="1"/>
  <c r="X26" i="8"/>
  <c r="W26" i="23" s="1"/>
  <c r="W78" i="23" s="1"/>
  <c r="X10" i="8"/>
  <c r="W10" i="23" s="1"/>
  <c r="W62" i="23" s="1"/>
  <c r="N31" i="12"/>
  <c r="N31" i="24" s="1"/>
  <c r="N74" i="24" s="1"/>
  <c r="N31" i="13"/>
  <c r="N40" i="12"/>
  <c r="N40" i="24" s="1"/>
  <c r="N83" i="24" s="1"/>
  <c r="N40" i="13"/>
  <c r="N21" i="12"/>
  <c r="N21" i="24" s="1"/>
  <c r="N64" i="24" s="1"/>
  <c r="N21" i="13"/>
  <c r="N30" i="12"/>
  <c r="N30" i="24" s="1"/>
  <c r="N73" i="24" s="1"/>
  <c r="N30" i="13"/>
  <c r="N33" i="12"/>
  <c r="N33" i="24" s="1"/>
  <c r="N76" i="24" s="1"/>
  <c r="N33" i="13"/>
  <c r="N20" i="12"/>
  <c r="N20" i="24" s="1"/>
  <c r="N63" i="24" s="1"/>
  <c r="N20" i="13"/>
  <c r="N19" i="12"/>
  <c r="N19" i="24" s="1"/>
  <c r="N62" i="24" s="1"/>
  <c r="N19" i="13"/>
  <c r="N22" i="12"/>
  <c r="N22" i="24" s="1"/>
  <c r="N65" i="24" s="1"/>
  <c r="N22" i="13"/>
  <c r="N16" i="12"/>
  <c r="N16" i="24" s="1"/>
  <c r="N59" i="24" s="1"/>
  <c r="N16" i="13"/>
  <c r="N11" i="12"/>
  <c r="N11" i="24" s="1"/>
  <c r="N54" i="24" s="1"/>
  <c r="N11" i="13"/>
  <c r="M9" i="8"/>
  <c r="M9" i="23" s="1"/>
  <c r="M61" i="23" s="1"/>
  <c r="M9" i="9"/>
  <c r="M16" i="8"/>
  <c r="M16" i="23" s="1"/>
  <c r="M68" i="23" s="1"/>
  <c r="M16" i="9"/>
  <c r="V6" i="9"/>
  <c r="V11" i="9"/>
  <c r="V19" i="9"/>
  <c r="V27" i="9"/>
  <c r="V35" i="9"/>
  <c r="V41" i="9"/>
  <c r="V10" i="9"/>
  <c r="V18" i="9"/>
  <c r="V26" i="9"/>
  <c r="V34" i="9"/>
  <c r="V40" i="9"/>
  <c r="V46" i="9"/>
  <c r="AH14" i="8"/>
  <c r="AD14" i="23" s="1"/>
  <c r="AD66" i="23" s="1"/>
  <c r="AH13" i="8"/>
  <c r="AD13" i="23" s="1"/>
  <c r="AD65" i="23" s="1"/>
  <c r="P53" i="9"/>
  <c r="P5" i="8"/>
  <c r="P5" i="23" s="1"/>
  <c r="P57" i="23" s="1"/>
  <c r="P45" i="8"/>
  <c r="P45" i="23" s="1"/>
  <c r="P97" i="23" s="1"/>
  <c r="P50" i="8"/>
  <c r="P50" i="23" s="1"/>
  <c r="P102" i="23" s="1"/>
  <c r="AC19" i="8"/>
  <c r="AC26" i="8"/>
  <c r="AC34" i="8"/>
  <c r="M23" i="8"/>
  <c r="M23" i="23" s="1"/>
  <c r="M75" i="23" s="1"/>
  <c r="M23" i="9"/>
  <c r="L22" i="8"/>
  <c r="L22" i="23" s="1"/>
  <c r="L74" i="23" s="1"/>
  <c r="L15" i="8"/>
  <c r="L15" i="23" s="1"/>
  <c r="L67" i="23" s="1"/>
  <c r="L25" i="8"/>
  <c r="L25" i="23" s="1"/>
  <c r="L77" i="23" s="1"/>
  <c r="L44" i="8"/>
  <c r="L44" i="23" s="1"/>
  <c r="L96" i="23" s="1"/>
  <c r="L48" i="8"/>
  <c r="L48" i="23" s="1"/>
  <c r="L100" i="23" s="1"/>
  <c r="X45" i="8"/>
  <c r="W45" i="23" s="1"/>
  <c r="W97" i="23" s="1"/>
  <c r="X31" i="8"/>
  <c r="W31" i="23" s="1"/>
  <c r="W83" i="23" s="1"/>
  <c r="X15" i="8"/>
  <c r="W15" i="23" s="1"/>
  <c r="W67" i="23" s="1"/>
  <c r="X38" i="8"/>
  <c r="W38" i="23" s="1"/>
  <c r="W90" i="23" s="1"/>
  <c r="X24" i="8"/>
  <c r="W24" i="23" s="1"/>
  <c r="W76" i="23" s="1"/>
  <c r="X8" i="8"/>
  <c r="W8" i="23" s="1"/>
  <c r="W60" i="23" s="1"/>
  <c r="M40" i="8"/>
  <c r="M40" i="23" s="1"/>
  <c r="M92" i="23" s="1"/>
  <c r="M40" i="9"/>
  <c r="M14" i="9"/>
  <c r="O9" i="8"/>
  <c r="O9" i="23" s="1"/>
  <c r="O61" i="23" s="1"/>
  <c r="O6" i="8"/>
  <c r="O6" i="23" s="1"/>
  <c r="O58" i="23" s="1"/>
  <c r="O48" i="8"/>
  <c r="O48" i="23" s="1"/>
  <c r="O100" i="23" s="1"/>
  <c r="O33" i="8"/>
  <c r="O33" i="23" s="1"/>
  <c r="O85" i="23" s="1"/>
  <c r="O37" i="8"/>
  <c r="O37" i="23" s="1"/>
  <c r="O89" i="23" s="1"/>
  <c r="M8" i="8"/>
  <c r="M8" i="23" s="1"/>
  <c r="M60" i="23" s="1"/>
  <c r="M8" i="9"/>
  <c r="AC14" i="8"/>
  <c r="AC46" i="8"/>
  <c r="AC40" i="8"/>
  <c r="U27" i="8"/>
  <c r="T27" i="23" s="1"/>
  <c r="T79" i="23" s="1"/>
  <c r="AB19" i="7"/>
  <c r="AB39" i="7"/>
  <c r="U5" i="8"/>
  <c r="T5" i="23" s="1"/>
  <c r="T57" i="23" s="1"/>
  <c r="L16" i="8"/>
  <c r="L16" i="23" s="1"/>
  <c r="L68" i="23" s="1"/>
  <c r="L13" i="8"/>
  <c r="L13" i="23" s="1"/>
  <c r="L65" i="23" s="1"/>
  <c r="L45" i="8"/>
  <c r="L45" i="23" s="1"/>
  <c r="L97" i="23" s="1"/>
  <c r="L33" i="8"/>
  <c r="L33" i="23" s="1"/>
  <c r="L85" i="23" s="1"/>
  <c r="L37" i="8"/>
  <c r="L37" i="23" s="1"/>
  <c r="L89" i="23" s="1"/>
  <c r="X51" i="8"/>
  <c r="W51" i="23" s="1"/>
  <c r="W103" i="23" s="1"/>
  <c r="X50" i="8"/>
  <c r="W50" i="23" s="1"/>
  <c r="W102" i="23" s="1"/>
  <c r="X21" i="8"/>
  <c r="W21" i="23" s="1"/>
  <c r="W73" i="23" s="1"/>
  <c r="X44" i="8"/>
  <c r="W44" i="23" s="1"/>
  <c r="W96" i="23" s="1"/>
  <c r="X30" i="8"/>
  <c r="W30" i="23" s="1"/>
  <c r="W82" i="23" s="1"/>
  <c r="X14" i="8"/>
  <c r="W14" i="23" s="1"/>
  <c r="W66" i="23" s="1"/>
  <c r="Q28" i="8"/>
  <c r="Q28" i="23" s="1"/>
  <c r="Q80" i="23" s="1"/>
  <c r="Q29" i="8"/>
  <c r="Q29" i="23" s="1"/>
  <c r="Q81" i="23" s="1"/>
  <c r="Q6" i="8"/>
  <c r="Q6" i="23" s="1"/>
  <c r="Q58" i="23" s="1"/>
  <c r="G9" i="25" s="1"/>
  <c r="Q41" i="8"/>
  <c r="Q41" i="23" s="1"/>
  <c r="Q93" i="23" s="1"/>
  <c r="Q45" i="8"/>
  <c r="Q45" i="23" s="1"/>
  <c r="Q97" i="23" s="1"/>
  <c r="Q49" i="8"/>
  <c r="Q49" i="23" s="1"/>
  <c r="Q101" i="23" s="1"/>
  <c r="M21" i="8"/>
  <c r="M21" i="23" s="1"/>
  <c r="M73" i="23" s="1"/>
  <c r="M21" i="9"/>
  <c r="O44" i="8"/>
  <c r="O44" i="23" s="1"/>
  <c r="O96" i="23" s="1"/>
  <c r="P12" i="12"/>
  <c r="P12" i="24" s="1"/>
  <c r="P55" i="24" s="1"/>
  <c r="P12" i="13"/>
  <c r="P22" i="12"/>
  <c r="P22" i="24" s="1"/>
  <c r="P65" i="24" s="1"/>
  <c r="P22" i="13"/>
  <c r="P25" i="12"/>
  <c r="P25" i="24" s="1"/>
  <c r="P68" i="24" s="1"/>
  <c r="P25" i="13"/>
  <c r="P27" i="12"/>
  <c r="P27" i="24" s="1"/>
  <c r="P70" i="24" s="1"/>
  <c r="P27" i="13"/>
  <c r="P24" i="12"/>
  <c r="P24" i="24" s="1"/>
  <c r="P67" i="24" s="1"/>
  <c r="P24" i="13"/>
  <c r="P23" i="12"/>
  <c r="P23" i="24" s="1"/>
  <c r="P66" i="24" s="1"/>
  <c r="P23" i="13"/>
  <c r="P20" i="12"/>
  <c r="P20" i="24" s="1"/>
  <c r="P63" i="24" s="1"/>
  <c r="P20" i="13"/>
  <c r="P6" i="12"/>
  <c r="P6" i="24" s="1"/>
  <c r="P49" i="24" s="1"/>
  <c r="P6" i="13"/>
  <c r="P5" i="12"/>
  <c r="P5" i="24" s="1"/>
  <c r="P48" i="24" s="1"/>
  <c r="P44" i="11"/>
  <c r="P5" i="13"/>
  <c r="M17" i="8"/>
  <c r="M17" i="23" s="1"/>
  <c r="M69" i="23" s="1"/>
  <c r="M17" i="9"/>
  <c r="M37" i="8"/>
  <c r="M37" i="23" s="1"/>
  <c r="M89" i="23" s="1"/>
  <c r="M37" i="9"/>
  <c r="AC12" i="8"/>
  <c r="AC7" i="8"/>
  <c r="AC22" i="8"/>
  <c r="M47" i="8"/>
  <c r="M47" i="23" s="1"/>
  <c r="M99" i="23" s="1"/>
  <c r="M47" i="9"/>
  <c r="U33" i="8"/>
  <c r="T33" i="23" s="1"/>
  <c r="T85" i="23" s="1"/>
  <c r="U49" i="8"/>
  <c r="T49" i="23" s="1"/>
  <c r="T101" i="23" s="1"/>
  <c r="AH33" i="8"/>
  <c r="AD33" i="23" s="1"/>
  <c r="AD85" i="23" s="1"/>
  <c r="V22" i="12"/>
  <c r="T22" i="24" s="1"/>
  <c r="T65" i="24" s="1"/>
  <c r="V22" i="13"/>
  <c r="V27" i="12"/>
  <c r="T27" i="24" s="1"/>
  <c r="T70" i="24" s="1"/>
  <c r="V27" i="13"/>
  <c r="V40" i="12"/>
  <c r="T40" i="24" s="1"/>
  <c r="T83" i="24" s="1"/>
  <c r="V40" i="13"/>
  <c r="V23" i="12"/>
  <c r="T23" i="24" s="1"/>
  <c r="T66" i="24" s="1"/>
  <c r="V23" i="13"/>
  <c r="V36" i="12"/>
  <c r="T36" i="24" s="1"/>
  <c r="T79" i="24" s="1"/>
  <c r="V36" i="13"/>
  <c r="V19" i="12"/>
  <c r="T19" i="24" s="1"/>
  <c r="T62" i="24" s="1"/>
  <c r="V19" i="13"/>
  <c r="V32" i="12"/>
  <c r="T32" i="24" s="1"/>
  <c r="T75" i="24" s="1"/>
  <c r="V32" i="13"/>
  <c r="V7" i="12"/>
  <c r="T7" i="24" s="1"/>
  <c r="T50" i="24" s="1"/>
  <c r="J9" i="26" s="1"/>
  <c r="V7" i="13"/>
  <c r="V8" i="12"/>
  <c r="T8" i="24" s="1"/>
  <c r="T51" i="24" s="1"/>
  <c r="V8" i="13"/>
  <c r="AA17" i="11"/>
  <c r="Z17" i="12"/>
  <c r="AA17" i="12" s="1"/>
  <c r="Z17" i="13"/>
  <c r="AA17" i="13" s="1"/>
  <c r="AA33" i="11"/>
  <c r="Z33" i="12"/>
  <c r="AA33" i="12" s="1"/>
  <c r="Z33" i="13"/>
  <c r="AA33" i="13" s="1"/>
  <c r="Z12" i="12"/>
  <c r="AA12" i="12" s="1"/>
  <c r="AA12" i="11"/>
  <c r="Z12" i="13"/>
  <c r="AA12" i="13" s="1"/>
  <c r="AA19" i="11"/>
  <c r="Z19" i="12"/>
  <c r="AA19" i="12" s="1"/>
  <c r="Z19" i="13"/>
  <c r="AA19" i="13" s="1"/>
  <c r="AA25" i="11"/>
  <c r="Z25" i="12"/>
  <c r="AA25" i="12" s="1"/>
  <c r="Z25" i="13"/>
  <c r="AA25" i="13" s="1"/>
  <c r="Z14" i="12"/>
  <c r="AA14" i="12" s="1"/>
  <c r="AA14" i="11"/>
  <c r="Z14" i="13"/>
  <c r="AA14" i="13" s="1"/>
  <c r="AA21" i="11"/>
  <c r="Z21" i="12"/>
  <c r="AA21" i="12" s="1"/>
  <c r="Z21" i="13"/>
  <c r="AA21" i="13" s="1"/>
  <c r="AA22" i="11"/>
  <c r="Z22" i="12"/>
  <c r="AA22" i="12" s="1"/>
  <c r="Z22" i="13"/>
  <c r="AA22" i="13" s="1"/>
  <c r="Z8" i="12"/>
  <c r="AA8" i="12" s="1"/>
  <c r="AA8" i="11"/>
  <c r="Z8" i="13"/>
  <c r="AA8" i="13" s="1"/>
  <c r="Z11" i="12"/>
  <c r="AA11" i="12" s="1"/>
  <c r="AA11" i="11"/>
  <c r="Z11" i="13"/>
  <c r="AA11" i="13" s="1"/>
  <c r="T36" i="12"/>
  <c r="W36" i="12" s="1"/>
  <c r="W36" i="11"/>
  <c r="T36" i="13"/>
  <c r="T31" i="12"/>
  <c r="W31" i="12" s="1"/>
  <c r="W31" i="11"/>
  <c r="T31" i="13"/>
  <c r="W31" i="13" s="1"/>
  <c r="T29" i="12"/>
  <c r="R29" i="24" s="1"/>
  <c r="R72" i="24" s="1"/>
  <c r="W29" i="11"/>
  <c r="T29" i="13"/>
  <c r="T27" i="12"/>
  <c r="W27" i="12" s="1"/>
  <c r="W27" i="11"/>
  <c r="T27" i="13"/>
  <c r="W27" i="13" s="1"/>
  <c r="T41" i="12"/>
  <c r="R41" i="24" s="1"/>
  <c r="R84" i="24" s="1"/>
  <c r="W41" i="11"/>
  <c r="T41" i="13"/>
  <c r="W41" i="13" s="1"/>
  <c r="T14" i="12"/>
  <c r="R14" i="24" s="1"/>
  <c r="R57" i="24" s="1"/>
  <c r="W14" i="11"/>
  <c r="T14" i="13"/>
  <c r="T21" i="12"/>
  <c r="R21" i="24" s="1"/>
  <c r="R64" i="24" s="1"/>
  <c r="W21" i="11"/>
  <c r="T21" i="13"/>
  <c r="T6" i="12"/>
  <c r="W6" i="12" s="1"/>
  <c r="W6" i="11"/>
  <c r="T6" i="13"/>
  <c r="W6" i="13" s="1"/>
  <c r="T9" i="12"/>
  <c r="R9" i="24" s="1"/>
  <c r="R52" i="24" s="1"/>
  <c r="W9" i="11"/>
  <c r="T9" i="13"/>
  <c r="F46" i="5"/>
  <c r="Q47" i="13"/>
  <c r="Q47" i="12"/>
  <c r="Q47" i="11"/>
  <c r="Q47" i="10"/>
  <c r="O47" i="8"/>
  <c r="O47" i="23" s="1"/>
  <c r="O99" i="23" s="1"/>
  <c r="O51" i="8"/>
  <c r="O51" i="23" s="1"/>
  <c r="O103" i="23" s="1"/>
  <c r="O23" i="8"/>
  <c r="O23" i="23" s="1"/>
  <c r="O75" i="23" s="1"/>
  <c r="M44" i="13"/>
  <c r="AC13" i="8"/>
  <c r="AD5" i="9"/>
  <c r="AD53" i="9" s="1"/>
  <c r="AC53" i="9"/>
  <c r="AC41" i="8"/>
  <c r="AC21" i="8"/>
  <c r="M20" i="8"/>
  <c r="M20" i="23" s="1"/>
  <c r="M72" i="23" s="1"/>
  <c r="M20" i="9"/>
  <c r="L53" i="9"/>
  <c r="L40" i="8"/>
  <c r="L40" i="23" s="1"/>
  <c r="L92" i="23" s="1"/>
  <c r="L20" i="8"/>
  <c r="L20" i="23" s="1"/>
  <c r="L72" i="23" s="1"/>
  <c r="L32" i="8"/>
  <c r="L32" i="23" s="1"/>
  <c r="L84" i="23" s="1"/>
  <c r="L41" i="8"/>
  <c r="L41" i="23" s="1"/>
  <c r="L93" i="23" s="1"/>
  <c r="X39" i="8"/>
  <c r="W39" i="23" s="1"/>
  <c r="W91" i="23" s="1"/>
  <c r="X25" i="8"/>
  <c r="W25" i="23" s="1"/>
  <c r="W77" i="23" s="1"/>
  <c r="X9" i="8"/>
  <c r="W9" i="23" s="1"/>
  <c r="W61" i="23" s="1"/>
  <c r="X34" i="8"/>
  <c r="W34" i="23" s="1"/>
  <c r="W86" i="23" s="1"/>
  <c r="N41" i="12"/>
  <c r="N41" i="24" s="1"/>
  <c r="N84" i="24" s="1"/>
  <c r="N41" i="13"/>
  <c r="N18" i="12"/>
  <c r="N18" i="24" s="1"/>
  <c r="N61" i="24" s="1"/>
  <c r="N18" i="13"/>
  <c r="N36" i="12"/>
  <c r="N36" i="24" s="1"/>
  <c r="N79" i="24" s="1"/>
  <c r="N36" i="13"/>
  <c r="N13" i="12"/>
  <c r="N13" i="24" s="1"/>
  <c r="N56" i="24" s="1"/>
  <c r="N13" i="13"/>
  <c r="N17" i="12"/>
  <c r="N17" i="24" s="1"/>
  <c r="N60" i="24" s="1"/>
  <c r="N17" i="13"/>
  <c r="N42" i="12"/>
  <c r="N42" i="24" s="1"/>
  <c r="N85" i="24" s="1"/>
  <c r="N42" i="13"/>
  <c r="N29" i="12"/>
  <c r="N29" i="24" s="1"/>
  <c r="N72" i="24" s="1"/>
  <c r="N29" i="13"/>
  <c r="N5" i="12"/>
  <c r="N5" i="24" s="1"/>
  <c r="N48" i="24" s="1"/>
  <c r="N5" i="13"/>
  <c r="N44" i="11"/>
  <c r="N6" i="12"/>
  <c r="N6" i="24" s="1"/>
  <c r="N49" i="24" s="1"/>
  <c r="N6" i="13"/>
  <c r="M24" i="8"/>
  <c r="M24" i="23" s="1"/>
  <c r="M76" i="23" s="1"/>
  <c r="M24" i="9"/>
  <c r="M10" i="8"/>
  <c r="M10" i="23" s="1"/>
  <c r="M62" i="23" s="1"/>
  <c r="M10" i="9"/>
  <c r="V53" i="7"/>
  <c r="V58" i="7" s="1"/>
  <c r="V11" i="8" s="1"/>
  <c r="U11" i="23" s="1"/>
  <c r="U63" i="23" s="1"/>
  <c r="V5" i="9"/>
  <c r="V13" i="9"/>
  <c r="V21" i="9"/>
  <c r="V29" i="9"/>
  <c r="V51" i="9"/>
  <c r="V43" i="9"/>
  <c r="V12" i="9"/>
  <c r="V20" i="9"/>
  <c r="V28" i="8"/>
  <c r="U28" i="23" s="1"/>
  <c r="U80" i="23" s="1"/>
  <c r="V28" i="9"/>
  <c r="V47" i="9"/>
  <c r="V42" i="9"/>
  <c r="V48" i="9"/>
  <c r="AH37" i="8"/>
  <c r="AD37" i="23" s="1"/>
  <c r="AD89" i="23" s="1"/>
  <c r="AH41" i="8"/>
  <c r="AD41" i="23" s="1"/>
  <c r="AD93" i="23" s="1"/>
  <c r="AH21" i="8"/>
  <c r="AD21" i="23" s="1"/>
  <c r="AD73" i="23" s="1"/>
  <c r="O19" i="8"/>
  <c r="O19" i="23" s="1"/>
  <c r="O71" i="23" s="1"/>
  <c r="O16" i="8"/>
  <c r="O16" i="23" s="1"/>
  <c r="O68" i="23" s="1"/>
  <c r="O26" i="8"/>
  <c r="O26" i="23" s="1"/>
  <c r="O78" i="23" s="1"/>
  <c r="O30" i="8"/>
  <c r="O30" i="23" s="1"/>
  <c r="O82" i="23" s="1"/>
  <c r="O50" i="8"/>
  <c r="O50" i="23" s="1"/>
  <c r="O102" i="23" s="1"/>
  <c r="O27" i="8"/>
  <c r="O27" i="23" s="1"/>
  <c r="O79" i="23" s="1"/>
  <c r="AH26" i="8"/>
  <c r="AD26" i="23" s="1"/>
  <c r="AD78" i="23" s="1"/>
  <c r="AC8" i="8"/>
  <c r="AC32" i="8"/>
  <c r="S44" i="11"/>
  <c r="O24" i="8"/>
  <c r="O24" i="23" s="1"/>
  <c r="O76" i="23" s="1"/>
  <c r="M42" i="8"/>
  <c r="M42" i="23" s="1"/>
  <c r="M94" i="23" s="1"/>
  <c r="M42" i="9"/>
  <c r="AB51" i="7"/>
  <c r="M29" i="8"/>
  <c r="M29" i="23" s="1"/>
  <c r="M81" i="23" s="1"/>
  <c r="M29" i="9"/>
  <c r="Y44" i="9"/>
  <c r="AH20" i="8"/>
  <c r="AD20" i="23" s="1"/>
  <c r="AD72" i="23" s="1"/>
  <c r="AH19" i="8"/>
  <c r="AD19" i="23" s="1"/>
  <c r="AD71" i="23" s="1"/>
  <c r="AH6" i="8"/>
  <c r="AD6" i="23" s="1"/>
  <c r="AD58" i="23" s="1"/>
  <c r="AH32" i="8"/>
  <c r="AD32" i="23" s="1"/>
  <c r="AD84" i="23" s="1"/>
  <c r="AH36" i="8"/>
  <c r="AD36" i="23" s="1"/>
  <c r="AD88" i="23" s="1"/>
  <c r="AH40" i="8"/>
  <c r="AD40" i="23" s="1"/>
  <c r="AD92" i="23" s="1"/>
  <c r="P15" i="8"/>
  <c r="P15" i="23" s="1"/>
  <c r="P67" i="23" s="1"/>
  <c r="P18" i="8"/>
  <c r="P18" i="23" s="1"/>
  <c r="P70" i="23" s="1"/>
  <c r="P9" i="8"/>
  <c r="P9" i="23" s="1"/>
  <c r="P61" i="23" s="1"/>
  <c r="P30" i="8"/>
  <c r="P30" i="23" s="1"/>
  <c r="P82" i="23" s="1"/>
  <c r="P31" i="8"/>
  <c r="P31" i="23" s="1"/>
  <c r="P83" i="23" s="1"/>
  <c r="AC9" i="8"/>
  <c r="AC44" i="8"/>
  <c r="AC33" i="8"/>
  <c r="AB16" i="7"/>
  <c r="M34" i="8"/>
  <c r="M34" i="23" s="1"/>
  <c r="M86" i="23" s="1"/>
  <c r="M34" i="9"/>
  <c r="AB27" i="7"/>
  <c r="M7" i="8"/>
  <c r="M7" i="23" s="1"/>
  <c r="M59" i="23" s="1"/>
  <c r="M7" i="9"/>
  <c r="M41" i="8"/>
  <c r="M41" i="23" s="1"/>
  <c r="M93" i="23" s="1"/>
  <c r="M41" i="9"/>
  <c r="O44" i="13"/>
  <c r="R53" i="9"/>
  <c r="R58" i="7"/>
  <c r="S58" i="7"/>
  <c r="P35" i="12"/>
  <c r="P35" i="24" s="1"/>
  <c r="P78" i="24" s="1"/>
  <c r="P35" i="13"/>
  <c r="P31" i="12"/>
  <c r="P31" i="24" s="1"/>
  <c r="P74" i="24" s="1"/>
  <c r="P31" i="13"/>
  <c r="P28" i="12"/>
  <c r="P28" i="24" s="1"/>
  <c r="P71" i="24" s="1"/>
  <c r="P28" i="13"/>
  <c r="P37" i="12"/>
  <c r="P37" i="24" s="1"/>
  <c r="P80" i="24" s="1"/>
  <c r="P37" i="13"/>
  <c r="P30" i="12"/>
  <c r="P30" i="24" s="1"/>
  <c r="P73" i="24" s="1"/>
  <c r="P30" i="13"/>
  <c r="P33" i="12"/>
  <c r="P33" i="24" s="1"/>
  <c r="P76" i="24" s="1"/>
  <c r="P33" i="13"/>
  <c r="P15" i="12"/>
  <c r="P15" i="24" s="1"/>
  <c r="P58" i="24" s="1"/>
  <c r="P15" i="13"/>
  <c r="P8" i="12"/>
  <c r="P8" i="24" s="1"/>
  <c r="P51" i="24" s="1"/>
  <c r="P8" i="13"/>
  <c r="P7" i="12"/>
  <c r="P7" i="24" s="1"/>
  <c r="P50" i="24" s="1"/>
  <c r="P7" i="13"/>
  <c r="AH18" i="8"/>
  <c r="AD18" i="23" s="1"/>
  <c r="AD70" i="23" s="1"/>
  <c r="AH17" i="8"/>
  <c r="AD17" i="23" s="1"/>
  <c r="AD69" i="23" s="1"/>
  <c r="AH28" i="8"/>
  <c r="AD28" i="23" s="1"/>
  <c r="AD80" i="23" s="1"/>
  <c r="AH48" i="8"/>
  <c r="AD48" i="23" s="1"/>
  <c r="AD100" i="23" s="1"/>
  <c r="AH29" i="8"/>
  <c r="AD29" i="23" s="1"/>
  <c r="AD81" i="23" s="1"/>
  <c r="P29" i="8"/>
  <c r="P13" i="8"/>
  <c r="P13" i="23" s="1"/>
  <c r="P65" i="23" s="1"/>
  <c r="F11" i="25" s="1"/>
  <c r="P16" i="8"/>
  <c r="P16" i="23" s="1"/>
  <c r="P68" i="23" s="1"/>
  <c r="P6" i="8"/>
  <c r="P6" i="23" s="1"/>
  <c r="P58" i="23" s="1"/>
  <c r="P46" i="8"/>
  <c r="P46" i="23" s="1"/>
  <c r="P98" i="23" s="1"/>
  <c r="P47" i="8"/>
  <c r="P47" i="23" s="1"/>
  <c r="P99" i="23" s="1"/>
  <c r="O15" i="8"/>
  <c r="O15" i="23" s="1"/>
  <c r="O67" i="23" s="1"/>
  <c r="O12" i="8"/>
  <c r="O12" i="23" s="1"/>
  <c r="O64" i="23" s="1"/>
  <c r="O31" i="8"/>
  <c r="O31" i="23" s="1"/>
  <c r="O83" i="23" s="1"/>
  <c r="O35" i="8"/>
  <c r="O35" i="23" s="1"/>
  <c r="O87" i="23" s="1"/>
  <c r="O39" i="8"/>
  <c r="O39" i="23" s="1"/>
  <c r="O91" i="23" s="1"/>
  <c r="U44" i="13"/>
  <c r="AC20" i="8"/>
  <c r="AC24" i="8"/>
  <c r="AC49" i="8"/>
  <c r="U48" i="8"/>
  <c r="T48" i="23" s="1"/>
  <c r="T100" i="23" s="1"/>
  <c r="U17" i="8"/>
  <c r="T17" i="23" s="1"/>
  <c r="T69" i="23" s="1"/>
  <c r="AB49" i="7"/>
  <c r="U32" i="8"/>
  <c r="T32" i="23" s="1"/>
  <c r="T84" i="23" s="1"/>
  <c r="U16" i="8"/>
  <c r="T16" i="23" s="1"/>
  <c r="T68" i="23" s="1"/>
  <c r="U8" i="8"/>
  <c r="T8" i="23" s="1"/>
  <c r="T60" i="23" s="1"/>
  <c r="P51" i="8"/>
  <c r="P51" i="23" s="1"/>
  <c r="P103" i="23" s="1"/>
  <c r="L14" i="8"/>
  <c r="L14" i="23" s="1"/>
  <c r="L66" i="23" s="1"/>
  <c r="L9" i="8"/>
  <c r="L9" i="23" s="1"/>
  <c r="L61" i="23" s="1"/>
  <c r="L30" i="8"/>
  <c r="L30" i="23" s="1"/>
  <c r="L82" i="23" s="1"/>
  <c r="L49" i="8"/>
  <c r="L49" i="23" s="1"/>
  <c r="L101" i="23" s="1"/>
  <c r="L38" i="8"/>
  <c r="L38" i="23" s="1"/>
  <c r="L90" i="23" s="1"/>
  <c r="X49" i="8"/>
  <c r="W49" i="23" s="1"/>
  <c r="W101" i="23" s="1"/>
  <c r="X35" i="8"/>
  <c r="W35" i="23" s="1"/>
  <c r="W87" i="23" s="1"/>
  <c r="X19" i="8"/>
  <c r="W19" i="23" s="1"/>
  <c r="W71" i="23" s="1"/>
  <c r="X42" i="8"/>
  <c r="W42" i="23" s="1"/>
  <c r="W94" i="23" s="1"/>
  <c r="X28" i="8"/>
  <c r="W28" i="23" s="1"/>
  <c r="W80" i="23" s="1"/>
  <c r="X12" i="8"/>
  <c r="W12" i="23" s="1"/>
  <c r="W64" i="23" s="1"/>
  <c r="Q26" i="8"/>
  <c r="Q26" i="23" s="1"/>
  <c r="Q78" i="23" s="1"/>
  <c r="Q27" i="8"/>
  <c r="Q27" i="23" s="1"/>
  <c r="Q79" i="23" s="1"/>
  <c r="Q18" i="8"/>
  <c r="Q18" i="23" s="1"/>
  <c r="Q70" i="23" s="1"/>
  <c r="Q30" i="8"/>
  <c r="Q30" i="23" s="1"/>
  <c r="Q82" i="23" s="1"/>
  <c r="Q7" i="8"/>
  <c r="Q7" i="23" s="1"/>
  <c r="Q59" i="23" s="1"/>
  <c r="Q38" i="8"/>
  <c r="Q38" i="23" s="1"/>
  <c r="Q90" i="23" s="1"/>
  <c r="V38" i="12"/>
  <c r="T38" i="24" s="1"/>
  <c r="T81" i="24" s="1"/>
  <c r="V38" i="13"/>
  <c r="V37" i="12"/>
  <c r="T37" i="24" s="1"/>
  <c r="T80" i="24" s="1"/>
  <c r="V37" i="13"/>
  <c r="V34" i="12"/>
  <c r="T34" i="24" s="1"/>
  <c r="T77" i="24" s="1"/>
  <c r="V34" i="13"/>
  <c r="V24" i="12"/>
  <c r="T24" i="24" s="1"/>
  <c r="T67" i="24" s="1"/>
  <c r="V24" i="13"/>
  <c r="V30" i="12"/>
  <c r="T30" i="24" s="1"/>
  <c r="T73" i="24" s="1"/>
  <c r="V30" i="13"/>
  <c r="V20" i="12"/>
  <c r="T20" i="24" s="1"/>
  <c r="T63" i="24" s="1"/>
  <c r="V20" i="13"/>
  <c r="V42" i="12"/>
  <c r="T42" i="24" s="1"/>
  <c r="T85" i="24" s="1"/>
  <c r="V42" i="13"/>
  <c r="V15" i="12"/>
  <c r="T15" i="24" s="1"/>
  <c r="T58" i="24" s="1"/>
  <c r="V15" i="13"/>
  <c r="V9" i="12"/>
  <c r="T9" i="24" s="1"/>
  <c r="T52" i="24" s="1"/>
  <c r="V9" i="13"/>
  <c r="V16" i="12"/>
  <c r="T16" i="24" s="1"/>
  <c r="T59" i="24" s="1"/>
  <c r="V16" i="13"/>
  <c r="AA23" i="11"/>
  <c r="Z23" i="12"/>
  <c r="AA23" i="12" s="1"/>
  <c r="Z23" i="13"/>
  <c r="AA23" i="13" s="1"/>
  <c r="AA28" i="11"/>
  <c r="Z28" i="12"/>
  <c r="AA28" i="12" s="1"/>
  <c r="Z28" i="13"/>
  <c r="AA28" i="13" s="1"/>
  <c r="AA40" i="11"/>
  <c r="Z40" i="12"/>
  <c r="AA40" i="12" s="1"/>
  <c r="Z40" i="13"/>
  <c r="AA40" i="13" s="1"/>
  <c r="AA30" i="11"/>
  <c r="Z30" i="12"/>
  <c r="AA30" i="12" s="1"/>
  <c r="Z30" i="13"/>
  <c r="AA30" i="13" s="1"/>
  <c r="AA36" i="11"/>
  <c r="Z36" i="12"/>
  <c r="AA36" i="12" s="1"/>
  <c r="Z36" i="13"/>
  <c r="AA36" i="13" s="1"/>
  <c r="AA42" i="11"/>
  <c r="Z42" i="12"/>
  <c r="AA42" i="12" s="1"/>
  <c r="Z42" i="13"/>
  <c r="AA42" i="13" s="1"/>
  <c r="AA32" i="11"/>
  <c r="Z32" i="12"/>
  <c r="AA32" i="12" s="1"/>
  <c r="Z32" i="13"/>
  <c r="AA32" i="13" s="1"/>
  <c r="Z15" i="12"/>
  <c r="AA15" i="12" s="1"/>
  <c r="AA15" i="11"/>
  <c r="Z15" i="13"/>
  <c r="AA15" i="13" s="1"/>
  <c r="Z5" i="12"/>
  <c r="V5" i="24" s="1"/>
  <c r="V48" i="24" s="1"/>
  <c r="AA5" i="11"/>
  <c r="Z5" i="13"/>
  <c r="Z44" i="11"/>
  <c r="AA16" i="11"/>
  <c r="Z16" i="12"/>
  <c r="AA16" i="12" s="1"/>
  <c r="Z16" i="13"/>
  <c r="AA16" i="13" s="1"/>
  <c r="T13" i="12"/>
  <c r="R13" i="24" s="1"/>
  <c r="R56" i="24" s="1"/>
  <c r="W13" i="11"/>
  <c r="T13" i="13"/>
  <c r="T39" i="12"/>
  <c r="W39" i="12" s="1"/>
  <c r="W39" i="11"/>
  <c r="T39" i="13"/>
  <c r="W39" i="13" s="1"/>
  <c r="T12" i="12"/>
  <c r="W12" i="12" s="1"/>
  <c r="W12" i="11"/>
  <c r="T12" i="13"/>
  <c r="W12" i="13" s="1"/>
  <c r="T35" i="12"/>
  <c r="W35" i="12" s="1"/>
  <c r="W35" i="11"/>
  <c r="T35" i="13"/>
  <c r="W35" i="13" s="1"/>
  <c r="T25" i="12"/>
  <c r="R25" i="24" s="1"/>
  <c r="R68" i="24" s="1"/>
  <c r="W25" i="11"/>
  <c r="T25" i="13"/>
  <c r="T34" i="12"/>
  <c r="R34" i="24" s="1"/>
  <c r="R77" i="24" s="1"/>
  <c r="W34" i="11"/>
  <c r="T34" i="13"/>
  <c r="T40" i="12"/>
  <c r="W40" i="12" s="1"/>
  <c r="W40" i="11"/>
  <c r="T40" i="13"/>
  <c r="W40" i="13" s="1"/>
  <c r="T8" i="12"/>
  <c r="W8" i="12" s="1"/>
  <c r="W8" i="11"/>
  <c r="T8" i="13"/>
  <c r="T11" i="12"/>
  <c r="R11" i="24" s="1"/>
  <c r="R54" i="24" s="1"/>
  <c r="W11" i="11"/>
  <c r="T11" i="13"/>
  <c r="O25" i="8"/>
  <c r="O25" i="23" s="1"/>
  <c r="O77" i="23" s="1"/>
  <c r="AC51" i="8"/>
  <c r="AC43" i="8"/>
  <c r="M50" i="8"/>
  <c r="M50" i="23" s="1"/>
  <c r="M102" i="23" s="1"/>
  <c r="M50" i="9"/>
  <c r="M48" i="8"/>
  <c r="M48" i="23" s="1"/>
  <c r="M100" i="23" s="1"/>
  <c r="M48" i="9"/>
  <c r="N34" i="12"/>
  <c r="N34" i="24" s="1"/>
  <c r="N77" i="24" s="1"/>
  <c r="N34" i="13"/>
  <c r="N27" i="12"/>
  <c r="N27" i="24" s="1"/>
  <c r="N70" i="24" s="1"/>
  <c r="N27" i="13"/>
  <c r="N24" i="12"/>
  <c r="N24" i="24" s="1"/>
  <c r="N67" i="24" s="1"/>
  <c r="N24" i="13"/>
  <c r="N39" i="12"/>
  <c r="N39" i="24" s="1"/>
  <c r="N82" i="24" s="1"/>
  <c r="N39" i="13"/>
  <c r="N32" i="12"/>
  <c r="N32" i="24" s="1"/>
  <c r="N75" i="24" s="1"/>
  <c r="N32" i="13"/>
  <c r="N26" i="12"/>
  <c r="N26" i="24" s="1"/>
  <c r="N69" i="24" s="1"/>
  <c r="N26" i="13"/>
  <c r="N15" i="12"/>
  <c r="N15" i="24" s="1"/>
  <c r="N58" i="24" s="1"/>
  <c r="N15" i="13"/>
  <c r="N7" i="12"/>
  <c r="N7" i="24" s="1"/>
  <c r="N50" i="24" s="1"/>
  <c r="N7" i="13"/>
  <c r="N8" i="12"/>
  <c r="N8" i="24" s="1"/>
  <c r="N51" i="24" s="1"/>
  <c r="N8" i="13"/>
  <c r="M11" i="8"/>
  <c r="M11" i="23" s="1"/>
  <c r="M63" i="23" s="1"/>
  <c r="M11" i="9"/>
  <c r="M6" i="8"/>
  <c r="M6" i="23" s="1"/>
  <c r="M58" i="23" s="1"/>
  <c r="M6" i="9"/>
  <c r="V7" i="8"/>
  <c r="U7" i="23" s="1"/>
  <c r="U59" i="23" s="1"/>
  <c r="V7" i="9"/>
  <c r="V15" i="8"/>
  <c r="U15" i="23" s="1"/>
  <c r="U67" i="23" s="1"/>
  <c r="V15" i="9"/>
  <c r="V23" i="8"/>
  <c r="U23" i="23" s="1"/>
  <c r="U75" i="23" s="1"/>
  <c r="V23" i="9"/>
  <c r="V31" i="8"/>
  <c r="U31" i="23" s="1"/>
  <c r="U83" i="23" s="1"/>
  <c r="V31" i="9"/>
  <c r="V37" i="8"/>
  <c r="U37" i="23" s="1"/>
  <c r="U89" i="23" s="1"/>
  <c r="V37" i="9"/>
  <c r="V45" i="8"/>
  <c r="U45" i="23" s="1"/>
  <c r="U97" i="23" s="1"/>
  <c r="V45" i="9"/>
  <c r="V14" i="8"/>
  <c r="U14" i="23" s="1"/>
  <c r="U66" i="23" s="1"/>
  <c r="V14" i="9"/>
  <c r="V22" i="8"/>
  <c r="U22" i="23" s="1"/>
  <c r="U74" i="23" s="1"/>
  <c r="V22" i="9"/>
  <c r="V30" i="8"/>
  <c r="U30" i="23" s="1"/>
  <c r="U82" i="23" s="1"/>
  <c r="V30" i="9"/>
  <c r="V36" i="8"/>
  <c r="U36" i="23" s="1"/>
  <c r="U88" i="23" s="1"/>
  <c r="V36" i="9"/>
  <c r="V44" i="8"/>
  <c r="U44" i="23" s="1"/>
  <c r="U96" i="23" s="1"/>
  <c r="V44" i="9"/>
  <c r="AB44" i="9" s="1"/>
  <c r="V50" i="8"/>
  <c r="U50" i="23" s="1"/>
  <c r="U102" i="23" s="1"/>
  <c r="V50" i="9"/>
  <c r="AH25" i="8"/>
  <c r="AD25" i="23" s="1"/>
  <c r="AD77" i="23" s="1"/>
  <c r="AH53" i="9"/>
  <c r="P41" i="8"/>
  <c r="P41" i="23" s="1"/>
  <c r="P93" i="23" s="1"/>
  <c r="P44" i="8"/>
  <c r="P44" i="23" s="1"/>
  <c r="P96" i="23" s="1"/>
  <c r="P48" i="8"/>
  <c r="P48" i="23" s="1"/>
  <c r="P100" i="23" s="1"/>
  <c r="M28" i="8"/>
  <c r="M28" i="23" s="1"/>
  <c r="M80" i="23" s="1"/>
  <c r="M28" i="9"/>
  <c r="AC16" i="8"/>
  <c r="AC30" i="8"/>
  <c r="AC38" i="8"/>
  <c r="S5" i="12"/>
  <c r="S44" i="12" s="1"/>
  <c r="R44" i="12"/>
  <c r="AB18" i="7"/>
  <c r="AB36" i="7"/>
  <c r="M35" i="8"/>
  <c r="M35" i="23" s="1"/>
  <c r="M87" i="23" s="1"/>
  <c r="M35" i="9"/>
  <c r="AB13" i="7"/>
  <c r="AB7" i="7"/>
  <c r="AH49" i="8"/>
  <c r="AD49" i="23" s="1"/>
  <c r="AD101" i="23" s="1"/>
  <c r="L29" i="8"/>
  <c r="L29" i="23" s="1"/>
  <c r="L81" i="23" s="1"/>
  <c r="L8" i="8"/>
  <c r="L8" i="23" s="1"/>
  <c r="L60" i="23" s="1"/>
  <c r="L19" i="8"/>
  <c r="L19" i="23" s="1"/>
  <c r="L71" i="23" s="1"/>
  <c r="L50" i="8"/>
  <c r="L50" i="23" s="1"/>
  <c r="L102" i="23" s="1"/>
  <c r="L51" i="8"/>
  <c r="L51" i="23" s="1"/>
  <c r="L103" i="23" s="1"/>
  <c r="X37" i="8"/>
  <c r="W37" i="23" s="1"/>
  <c r="W89" i="23" s="1"/>
  <c r="X23" i="8"/>
  <c r="W23" i="23" s="1"/>
  <c r="W75" i="23" s="1"/>
  <c r="X48" i="8"/>
  <c r="W48" i="23" s="1"/>
  <c r="W100" i="23" s="1"/>
  <c r="X32" i="8"/>
  <c r="W32" i="23" s="1"/>
  <c r="W84" i="23" s="1"/>
  <c r="X16" i="8"/>
  <c r="W16" i="23" s="1"/>
  <c r="W68" i="23" s="1"/>
  <c r="L48" i="10"/>
  <c r="L48" i="12" s="1"/>
  <c r="O17" i="8"/>
  <c r="O17" i="23" s="1"/>
  <c r="O69" i="23" s="1"/>
  <c r="O14" i="8"/>
  <c r="O14" i="23" s="1"/>
  <c r="O66" i="23" s="1"/>
  <c r="O42" i="8"/>
  <c r="O42" i="23" s="1"/>
  <c r="O94" i="23" s="1"/>
  <c r="O46" i="8"/>
  <c r="O46" i="23" s="1"/>
  <c r="O98" i="23" s="1"/>
  <c r="O22" i="8"/>
  <c r="O22" i="23" s="1"/>
  <c r="O74" i="23" s="1"/>
  <c r="O43" i="8"/>
  <c r="O43" i="23" s="1"/>
  <c r="O95" i="23" s="1"/>
  <c r="AC17" i="8"/>
  <c r="AC42" i="8"/>
  <c r="AC50" i="8"/>
  <c r="AH22" i="8"/>
  <c r="AD22" i="23" s="1"/>
  <c r="AD74" i="23" s="1"/>
  <c r="M19" i="8"/>
  <c r="M19" i="23" s="1"/>
  <c r="M71" i="23" s="1"/>
  <c r="M19" i="9"/>
  <c r="AB24" i="7"/>
  <c r="AB50" i="7"/>
  <c r="AB10" i="7"/>
  <c r="AB35" i="7"/>
  <c r="AB5" i="7"/>
  <c r="L28" i="8"/>
  <c r="L28" i="23" s="1"/>
  <c r="L80" i="23" s="1"/>
  <c r="L27" i="8"/>
  <c r="L27" i="23" s="1"/>
  <c r="L79" i="23" s="1"/>
  <c r="L6" i="8"/>
  <c r="L6" i="23" s="1"/>
  <c r="L58" i="23" s="1"/>
  <c r="L43" i="8"/>
  <c r="L43" i="23" s="1"/>
  <c r="L95" i="23" s="1"/>
  <c r="L31" i="8"/>
  <c r="L31" i="23" s="1"/>
  <c r="L83" i="23" s="1"/>
  <c r="L36" i="8"/>
  <c r="L36" i="23" s="1"/>
  <c r="L88" i="23" s="1"/>
  <c r="X43" i="8"/>
  <c r="W43" i="23" s="1"/>
  <c r="W95" i="23" s="1"/>
  <c r="X29" i="8"/>
  <c r="W29" i="23" s="1"/>
  <c r="W81" i="23" s="1"/>
  <c r="X13" i="8"/>
  <c r="W13" i="23" s="1"/>
  <c r="W65" i="23" s="1"/>
  <c r="X36" i="8"/>
  <c r="W36" i="23" s="1"/>
  <c r="W88" i="23" s="1"/>
  <c r="X22" i="8"/>
  <c r="W22" i="23" s="1"/>
  <c r="W74" i="23" s="1"/>
  <c r="Q16" i="8"/>
  <c r="Q16" i="23" s="1"/>
  <c r="Q68" i="23" s="1"/>
  <c r="Q15" i="8"/>
  <c r="Q15" i="23" s="1"/>
  <c r="Q67" i="23" s="1"/>
  <c r="Q43" i="8"/>
  <c r="Q43" i="23" s="1"/>
  <c r="Q95" i="23" s="1"/>
  <c r="Q47" i="8"/>
  <c r="Q47" i="23" s="1"/>
  <c r="Q99" i="23" s="1"/>
  <c r="Q35" i="8"/>
  <c r="Q35" i="23" s="1"/>
  <c r="Q87" i="23" s="1"/>
  <c r="M32" i="8"/>
  <c r="M32" i="23" s="1"/>
  <c r="M84" i="23" s="1"/>
  <c r="M32" i="9"/>
  <c r="L11" i="8"/>
  <c r="L11" i="23" s="1"/>
  <c r="L63" i="23" s="1"/>
  <c r="P29" i="12"/>
  <c r="P29" i="24" s="1"/>
  <c r="P72" i="24" s="1"/>
  <c r="P29" i="13"/>
  <c r="P38" i="12"/>
  <c r="P38" i="24" s="1"/>
  <c r="P81" i="24" s="1"/>
  <c r="P38" i="13"/>
  <c r="P14" i="12"/>
  <c r="P14" i="24" s="1"/>
  <c r="P57" i="24" s="1"/>
  <c r="P14" i="13"/>
  <c r="P34" i="12"/>
  <c r="P34" i="24" s="1"/>
  <c r="P77" i="24" s="1"/>
  <c r="P34" i="13"/>
  <c r="P21" i="12"/>
  <c r="P21" i="24" s="1"/>
  <c r="P64" i="24" s="1"/>
  <c r="P21" i="13"/>
  <c r="P13" i="12"/>
  <c r="P13" i="24" s="1"/>
  <c r="P56" i="24" s="1"/>
  <c r="P13" i="13"/>
  <c r="P17" i="12"/>
  <c r="P17" i="24" s="1"/>
  <c r="P60" i="24" s="1"/>
  <c r="P17" i="13"/>
  <c r="P42" i="12"/>
  <c r="P42" i="24" s="1"/>
  <c r="P85" i="24" s="1"/>
  <c r="P42" i="13"/>
  <c r="P10" i="12"/>
  <c r="P10" i="24" s="1"/>
  <c r="P53" i="24" s="1"/>
  <c r="P10" i="13"/>
  <c r="P9" i="12"/>
  <c r="P9" i="24" s="1"/>
  <c r="P52" i="24" s="1"/>
  <c r="P9" i="13"/>
  <c r="M46" i="8"/>
  <c r="M46" i="23" s="1"/>
  <c r="M98" i="23" s="1"/>
  <c r="M46" i="9"/>
  <c r="O53" i="9"/>
  <c r="AC15" i="8"/>
  <c r="AC27" i="8"/>
  <c r="W53" i="8"/>
  <c r="U25" i="8"/>
  <c r="T25" i="23" s="1"/>
  <c r="T77" i="23" s="1"/>
  <c r="AB17" i="7"/>
  <c r="M31" i="8"/>
  <c r="M31" i="23" s="1"/>
  <c r="M83" i="23" s="1"/>
  <c r="M31" i="9"/>
  <c r="M12" i="8"/>
  <c r="M12" i="23" s="1"/>
  <c r="M64" i="23" s="1"/>
  <c r="M12" i="9"/>
  <c r="V21" i="12"/>
  <c r="T21" i="24" s="1"/>
  <c r="T64" i="24" s="1"/>
  <c r="V21" i="13"/>
  <c r="V14" i="12"/>
  <c r="T14" i="24" s="1"/>
  <c r="T57" i="24" s="1"/>
  <c r="V14" i="13"/>
  <c r="V18" i="12"/>
  <c r="T18" i="24" s="1"/>
  <c r="T61" i="24" s="1"/>
  <c r="V18" i="13"/>
  <c r="V17" i="12"/>
  <c r="T17" i="24" s="1"/>
  <c r="T60" i="24" s="1"/>
  <c r="V17" i="13"/>
  <c r="V13" i="12"/>
  <c r="T13" i="24" s="1"/>
  <c r="T56" i="24" s="1"/>
  <c r="V13" i="13"/>
  <c r="V29" i="12"/>
  <c r="T29" i="24" s="1"/>
  <c r="T72" i="24" s="1"/>
  <c r="V29" i="13"/>
  <c r="V26" i="12"/>
  <c r="T26" i="24" s="1"/>
  <c r="T69" i="24" s="1"/>
  <c r="V26" i="13"/>
  <c r="V25" i="12"/>
  <c r="T25" i="24" s="1"/>
  <c r="T68" i="24" s="1"/>
  <c r="V25" i="13"/>
  <c r="V10" i="12"/>
  <c r="T10" i="24" s="1"/>
  <c r="T53" i="24" s="1"/>
  <c r="V10" i="13"/>
  <c r="V11" i="12"/>
  <c r="T11" i="24" s="1"/>
  <c r="T54" i="24" s="1"/>
  <c r="V11" i="13"/>
  <c r="AB45" i="13"/>
  <c r="AB45" i="12"/>
  <c r="AB45" i="10"/>
  <c r="AB45" i="11"/>
  <c r="AA34" i="11"/>
  <c r="Z34" i="12"/>
  <c r="AA34" i="12" s="1"/>
  <c r="Z34" i="13"/>
  <c r="AA34" i="13" s="1"/>
  <c r="AA39" i="11"/>
  <c r="Z39" i="12"/>
  <c r="AA39" i="12" s="1"/>
  <c r="Z39" i="13"/>
  <c r="AA39" i="13" s="1"/>
  <c r="AA24" i="11"/>
  <c r="Z24" i="12"/>
  <c r="AA24" i="12" s="1"/>
  <c r="Z24" i="13"/>
  <c r="AA24" i="13" s="1"/>
  <c r="Z13" i="12"/>
  <c r="AA13" i="12" s="1"/>
  <c r="AA13" i="11"/>
  <c r="Z13" i="13"/>
  <c r="AA13" i="13" s="1"/>
  <c r="AA20" i="11"/>
  <c r="Z20" i="12"/>
  <c r="AA20" i="12" s="1"/>
  <c r="Z20" i="13"/>
  <c r="AA20" i="13" s="1"/>
  <c r="AA26" i="11"/>
  <c r="Z26" i="12"/>
  <c r="AA26" i="12" s="1"/>
  <c r="Z26" i="13"/>
  <c r="AA26" i="13" s="1"/>
  <c r="AA27" i="11"/>
  <c r="Z27" i="12"/>
  <c r="AA27" i="12" s="1"/>
  <c r="Z27" i="13"/>
  <c r="AA27" i="13" s="1"/>
  <c r="Z10" i="12"/>
  <c r="AA10" i="12" s="1"/>
  <c r="AA10" i="11"/>
  <c r="Z10" i="13"/>
  <c r="AA10" i="13" s="1"/>
  <c r="Z7" i="12"/>
  <c r="AA7" i="12" s="1"/>
  <c r="AA7" i="11"/>
  <c r="Z7" i="13"/>
  <c r="AA7" i="13" s="1"/>
  <c r="T30" i="12"/>
  <c r="W30" i="12" s="1"/>
  <c r="W30" i="11"/>
  <c r="T30" i="13"/>
  <c r="T17" i="12"/>
  <c r="W17" i="12" s="1"/>
  <c r="W17" i="11"/>
  <c r="T17" i="13"/>
  <c r="T42" i="12"/>
  <c r="R42" i="24" s="1"/>
  <c r="R85" i="24" s="1"/>
  <c r="W42" i="11"/>
  <c r="T42" i="13"/>
  <c r="W42" i="13" s="1"/>
  <c r="T32" i="12"/>
  <c r="W32" i="12" s="1"/>
  <c r="W32" i="11"/>
  <c r="T32" i="13"/>
  <c r="W32" i="13" s="1"/>
  <c r="T38" i="12"/>
  <c r="W38" i="12" s="1"/>
  <c r="W38" i="11"/>
  <c r="T38" i="13"/>
  <c r="T28" i="12"/>
  <c r="W28" i="12" s="1"/>
  <c r="W28" i="11"/>
  <c r="T28" i="13"/>
  <c r="W28" i="13" s="1"/>
  <c r="T18" i="12"/>
  <c r="R18" i="24" s="1"/>
  <c r="R61" i="24" s="1"/>
  <c r="W18" i="11"/>
  <c r="T18" i="13"/>
  <c r="T24" i="12"/>
  <c r="W24" i="12" s="1"/>
  <c r="W24" i="11"/>
  <c r="T24" i="13"/>
  <c r="W24" i="13" s="1"/>
  <c r="T5" i="12"/>
  <c r="R5" i="24" s="1"/>
  <c r="R48" i="24" s="1"/>
  <c r="W5" i="11"/>
  <c r="T5" i="13"/>
  <c r="T44" i="11"/>
  <c r="T10" i="12"/>
  <c r="W10" i="12" s="1"/>
  <c r="W10" i="11"/>
  <c r="T10" i="13"/>
  <c r="W10" i="13" s="1"/>
  <c r="E10" i="5"/>
  <c r="N57" i="6"/>
  <c r="F10" i="5"/>
  <c r="N58" i="6"/>
  <c r="D47" i="5"/>
  <c r="D29" i="5"/>
  <c r="C14" i="26" l="1"/>
  <c r="I14" i="26"/>
  <c r="J15" i="26"/>
  <c r="J14" i="26"/>
  <c r="F9" i="26"/>
  <c r="F11" i="26"/>
  <c r="F7" i="26"/>
  <c r="F13" i="26" s="1"/>
  <c r="J7" i="26"/>
  <c r="J13" i="26" s="1"/>
  <c r="J11" i="26"/>
  <c r="D9" i="26"/>
  <c r="D11" i="26"/>
  <c r="D7" i="26"/>
  <c r="D13" i="26" s="1"/>
  <c r="G14" i="25"/>
  <c r="G15" i="25"/>
  <c r="G15" i="26"/>
  <c r="G14" i="26"/>
  <c r="AD15" i="8"/>
  <c r="AA15" i="23"/>
  <c r="AA67" i="23" s="1"/>
  <c r="B11" i="25"/>
  <c r="AD42" i="8"/>
  <c r="AA42" i="23"/>
  <c r="AA94" i="23" s="1"/>
  <c r="AD38" i="8"/>
  <c r="AA38" i="23"/>
  <c r="AA90" i="23" s="1"/>
  <c r="AD43" i="8"/>
  <c r="AA43" i="23"/>
  <c r="AA95" i="23" s="1"/>
  <c r="AD44" i="8"/>
  <c r="AA44" i="23"/>
  <c r="AA96" i="23" s="1"/>
  <c r="V51" i="8"/>
  <c r="U51" i="23" s="1"/>
  <c r="U103" i="23" s="1"/>
  <c r="AD22" i="8"/>
  <c r="AA22" i="23"/>
  <c r="AA74" i="23" s="1"/>
  <c r="AD14" i="8"/>
  <c r="AA14" i="23"/>
  <c r="AA66" i="23" s="1"/>
  <c r="AD34" i="8"/>
  <c r="AA34" i="23"/>
  <c r="AA86" i="23" s="1"/>
  <c r="AD35" i="8"/>
  <c r="AA35" i="23"/>
  <c r="AA87" i="23" s="1"/>
  <c r="AD48" i="8"/>
  <c r="AA48" i="23"/>
  <c r="AA100" i="23" s="1"/>
  <c r="AB21" i="7"/>
  <c r="AB32" i="7"/>
  <c r="AB26" i="7"/>
  <c r="AB14" i="7"/>
  <c r="AD23" i="8"/>
  <c r="AA23" i="23"/>
  <c r="AA75" i="23" s="1"/>
  <c r="AD36" i="8"/>
  <c r="AA36" i="23"/>
  <c r="AA88" i="23" s="1"/>
  <c r="T9" i="25"/>
  <c r="T11" i="25"/>
  <c r="T7" i="25"/>
  <c r="T13" i="25" s="1"/>
  <c r="M9" i="25"/>
  <c r="M11" i="25"/>
  <c r="M7" i="25"/>
  <c r="M13" i="25" s="1"/>
  <c r="B7" i="25"/>
  <c r="B13" i="25" s="1"/>
  <c r="B9" i="25"/>
  <c r="L9" i="25"/>
  <c r="L11" i="25"/>
  <c r="L7" i="25"/>
  <c r="L13" i="25" s="1"/>
  <c r="AI50" i="8"/>
  <c r="AE50" i="23" s="1"/>
  <c r="AE102" i="23" s="1"/>
  <c r="AI35" i="8"/>
  <c r="AE35" i="23" s="1"/>
  <c r="AE87" i="23" s="1"/>
  <c r="V9" i="24"/>
  <c r="V52" i="24" s="1"/>
  <c r="V31" i="24"/>
  <c r="V74" i="24" s="1"/>
  <c r="V18" i="24"/>
  <c r="V61" i="24" s="1"/>
  <c r="AI45" i="8"/>
  <c r="AE45" i="23" s="1"/>
  <c r="AE97" i="23" s="1"/>
  <c r="AI25" i="8"/>
  <c r="AE25" i="23" s="1"/>
  <c r="AE77" i="23" s="1"/>
  <c r="AI22" i="8"/>
  <c r="AE22" i="23" s="1"/>
  <c r="AE74" i="23" s="1"/>
  <c r="R24" i="24"/>
  <c r="R67" i="24" s="1"/>
  <c r="R32" i="24"/>
  <c r="R75" i="24" s="1"/>
  <c r="V7" i="24"/>
  <c r="V50" i="24" s="1"/>
  <c r="V20" i="24"/>
  <c r="V63" i="24" s="1"/>
  <c r="V34" i="24"/>
  <c r="V77" i="24" s="1"/>
  <c r="AI51" i="8"/>
  <c r="AE51" i="23" s="1"/>
  <c r="AE103" i="23" s="1"/>
  <c r="AI42" i="8"/>
  <c r="AE42" i="23" s="1"/>
  <c r="AE94" i="23" s="1"/>
  <c r="AI11" i="8"/>
  <c r="AE11" i="23" s="1"/>
  <c r="AE63" i="23" s="1"/>
  <c r="R39" i="24"/>
  <c r="R82" i="24" s="1"/>
  <c r="V15" i="24"/>
  <c r="V58" i="24" s="1"/>
  <c r="V30" i="24"/>
  <c r="V73" i="24" s="1"/>
  <c r="AI36" i="8"/>
  <c r="AE36" i="23" s="1"/>
  <c r="AE88" i="23" s="1"/>
  <c r="AI14" i="8"/>
  <c r="AE14" i="23" s="1"/>
  <c r="AE66" i="23" s="1"/>
  <c r="AI20" i="8"/>
  <c r="AE20" i="23" s="1"/>
  <c r="AE72" i="23" s="1"/>
  <c r="R6" i="24"/>
  <c r="R49" i="24" s="1"/>
  <c r="H7" i="26" s="1"/>
  <c r="H13" i="26" s="1"/>
  <c r="R27" i="24"/>
  <c r="R70" i="24" s="1"/>
  <c r="V11" i="24"/>
  <c r="V54" i="24" s="1"/>
  <c r="V14" i="24"/>
  <c r="V57" i="24" s="1"/>
  <c r="V33" i="24"/>
  <c r="V76" i="24" s="1"/>
  <c r="G7" i="26"/>
  <c r="G13" i="26" s="1"/>
  <c r="E15" i="26"/>
  <c r="AD17" i="8"/>
  <c r="AA17" i="23"/>
  <c r="AA69" i="23" s="1"/>
  <c r="AD30" i="8"/>
  <c r="AA30" i="23"/>
  <c r="AA82" i="23" s="1"/>
  <c r="AD51" i="8"/>
  <c r="AA51" i="23"/>
  <c r="AA103" i="23" s="1"/>
  <c r="AD49" i="8"/>
  <c r="AA49" i="23"/>
  <c r="AA101" i="23" s="1"/>
  <c r="AD9" i="8"/>
  <c r="AA9" i="23"/>
  <c r="AA61" i="23" s="1"/>
  <c r="AD32" i="8"/>
  <c r="AA32" i="23"/>
  <c r="AA84" i="23" s="1"/>
  <c r="V12" i="8"/>
  <c r="U12" i="23" s="1"/>
  <c r="U64" i="23" s="1"/>
  <c r="AD7" i="8"/>
  <c r="AA7" i="23"/>
  <c r="AA59" i="23" s="1"/>
  <c r="AD26" i="8"/>
  <c r="AA26" i="23"/>
  <c r="AA78" i="23" s="1"/>
  <c r="F9" i="25"/>
  <c r="AD18" i="8"/>
  <c r="AA18" i="23"/>
  <c r="AA70" i="23" s="1"/>
  <c r="AD6" i="8"/>
  <c r="AA6" i="23"/>
  <c r="AA58" i="23" s="1"/>
  <c r="Q9" i="25" s="1"/>
  <c r="AB41" i="7"/>
  <c r="AD31" i="8"/>
  <c r="AA31" i="23"/>
  <c r="AA83" i="23" s="1"/>
  <c r="AD28" i="8"/>
  <c r="AA28" i="23"/>
  <c r="AA80" i="23" s="1"/>
  <c r="AD10" i="8"/>
  <c r="AA10" i="23"/>
  <c r="AA62" i="23" s="1"/>
  <c r="AI23" i="8"/>
  <c r="AE23" i="23" s="1"/>
  <c r="AE75" i="23" s="1"/>
  <c r="AI38" i="8"/>
  <c r="AE38" i="23" s="1"/>
  <c r="AE90" i="23" s="1"/>
  <c r="AI41" i="8"/>
  <c r="AE41" i="23" s="1"/>
  <c r="AE93" i="23" s="1"/>
  <c r="V6" i="24"/>
  <c r="V49" i="24" s="1"/>
  <c r="L9" i="26" s="1"/>
  <c r="V41" i="24"/>
  <c r="V84" i="24" s="1"/>
  <c r="AI49" i="8"/>
  <c r="AE49" i="23" s="1"/>
  <c r="AE101" i="23" s="1"/>
  <c r="AI18" i="8"/>
  <c r="AE18" i="23" s="1"/>
  <c r="AE70" i="23" s="1"/>
  <c r="AI46" i="8"/>
  <c r="AE46" i="23" s="1"/>
  <c r="AE98" i="23" s="1"/>
  <c r="V10" i="24"/>
  <c r="V53" i="24" s="1"/>
  <c r="V13" i="24"/>
  <c r="V56" i="24" s="1"/>
  <c r="AI44" i="8"/>
  <c r="AE44" i="23" s="1"/>
  <c r="AE96" i="23" s="1"/>
  <c r="AI47" i="8"/>
  <c r="AE47" i="23" s="1"/>
  <c r="AE99" i="23" s="1"/>
  <c r="AI8" i="8"/>
  <c r="AE8" i="23" s="1"/>
  <c r="AE60" i="23" s="1"/>
  <c r="V32" i="24"/>
  <c r="V75" i="24" s="1"/>
  <c r="V40" i="24"/>
  <c r="V83" i="24" s="1"/>
  <c r="AI31" i="8"/>
  <c r="AE31" i="23" s="1"/>
  <c r="AE83" i="23" s="1"/>
  <c r="AI9" i="8"/>
  <c r="AE9" i="23" s="1"/>
  <c r="AE61" i="23" s="1"/>
  <c r="AI29" i="8"/>
  <c r="AE29" i="23" s="1"/>
  <c r="AE81" i="23" s="1"/>
  <c r="V8" i="24"/>
  <c r="V51" i="24" s="1"/>
  <c r="V25" i="24"/>
  <c r="V68" i="24" s="1"/>
  <c r="V17" i="24"/>
  <c r="V60" i="24" s="1"/>
  <c r="G7" i="25"/>
  <c r="G13" i="25" s="1"/>
  <c r="G11" i="26"/>
  <c r="AD16" i="8"/>
  <c r="AA16" i="23"/>
  <c r="AA68" i="23" s="1"/>
  <c r="AD24" i="8"/>
  <c r="AA24" i="23"/>
  <c r="AA76" i="23" s="1"/>
  <c r="AD8" i="8"/>
  <c r="AA8" i="23"/>
  <c r="AA60" i="23" s="1"/>
  <c r="AD21" i="8"/>
  <c r="AA21" i="23"/>
  <c r="AA73" i="23" s="1"/>
  <c r="AD13" i="8"/>
  <c r="AA13" i="23"/>
  <c r="AA65" i="23" s="1"/>
  <c r="AD12" i="8"/>
  <c r="AA12" i="23"/>
  <c r="AA64" i="23" s="1"/>
  <c r="J9" i="25"/>
  <c r="J11" i="25"/>
  <c r="AD40" i="8"/>
  <c r="AA40" i="23"/>
  <c r="AA92" i="23" s="1"/>
  <c r="AD19" i="8"/>
  <c r="AA19" i="23"/>
  <c r="AA71" i="23" s="1"/>
  <c r="AD37" i="8"/>
  <c r="AA37" i="23"/>
  <c r="AA89" i="23" s="1"/>
  <c r="AB31" i="7"/>
  <c r="AB29" i="7"/>
  <c r="AB22" i="7"/>
  <c r="AD11" i="8"/>
  <c r="AA11" i="23"/>
  <c r="AA63" i="23" s="1"/>
  <c r="E9" i="25"/>
  <c r="E7" i="25"/>
  <c r="E13" i="25" s="1"/>
  <c r="E11" i="25"/>
  <c r="V38" i="24"/>
  <c r="V81" i="24" s="1"/>
  <c r="V35" i="24"/>
  <c r="V78" i="24" s="1"/>
  <c r="AI28" i="8"/>
  <c r="AE28" i="23" s="1"/>
  <c r="AE80" i="23" s="1"/>
  <c r="AI21" i="8"/>
  <c r="AE21" i="23" s="1"/>
  <c r="AE73" i="23" s="1"/>
  <c r="AI27" i="8"/>
  <c r="AE27" i="23" s="1"/>
  <c r="AE79" i="23" s="1"/>
  <c r="R10" i="24"/>
  <c r="R53" i="24" s="1"/>
  <c r="R28" i="24"/>
  <c r="R71" i="24" s="1"/>
  <c r="R17" i="24"/>
  <c r="R60" i="24" s="1"/>
  <c r="V27" i="24"/>
  <c r="V70" i="24" s="1"/>
  <c r="V24" i="24"/>
  <c r="V67" i="24" s="1"/>
  <c r="AI37" i="8"/>
  <c r="AE37" i="23" s="1"/>
  <c r="AE89" i="23" s="1"/>
  <c r="AI17" i="8"/>
  <c r="AE17" i="23" s="1"/>
  <c r="AE69" i="23" s="1"/>
  <c r="AI43" i="8"/>
  <c r="AE43" i="23" s="1"/>
  <c r="AE95" i="23" s="1"/>
  <c r="R8" i="24"/>
  <c r="R51" i="24" s="1"/>
  <c r="R35" i="24"/>
  <c r="R78" i="24" s="1"/>
  <c r="V16" i="24"/>
  <c r="V59" i="24" s="1"/>
  <c r="V42" i="24"/>
  <c r="V85" i="24" s="1"/>
  <c r="V28" i="24"/>
  <c r="V71" i="24" s="1"/>
  <c r="AI24" i="8"/>
  <c r="AE24" i="23" s="1"/>
  <c r="AE76" i="23" s="1"/>
  <c r="AI39" i="8"/>
  <c r="AE39" i="23" s="1"/>
  <c r="AE91" i="23" s="1"/>
  <c r="AI53" i="9"/>
  <c r="AI40" i="8"/>
  <c r="AE40" i="23" s="1"/>
  <c r="AE92" i="23" s="1"/>
  <c r="R31" i="24"/>
  <c r="R74" i="24" s="1"/>
  <c r="V22" i="24"/>
  <c r="V65" i="24" s="1"/>
  <c r="V19" i="24"/>
  <c r="V62" i="24" s="1"/>
  <c r="G11" i="25"/>
  <c r="AD27" i="8"/>
  <c r="AA27" i="23"/>
  <c r="AA79" i="23" s="1"/>
  <c r="AD50" i="8"/>
  <c r="AA50" i="23"/>
  <c r="AA102" i="23" s="1"/>
  <c r="AD20" i="8"/>
  <c r="AA20" i="23"/>
  <c r="AA72" i="23" s="1"/>
  <c r="AD33" i="8"/>
  <c r="AA33" i="23"/>
  <c r="AA85" i="23" s="1"/>
  <c r="V42" i="8"/>
  <c r="U42" i="23" s="1"/>
  <c r="U94" i="23" s="1"/>
  <c r="V21" i="8"/>
  <c r="U21" i="23" s="1"/>
  <c r="U73" i="23" s="1"/>
  <c r="V5" i="8"/>
  <c r="U5" i="23" s="1"/>
  <c r="U57" i="23" s="1"/>
  <c r="AD41" i="8"/>
  <c r="AA41" i="23"/>
  <c r="AA93" i="23" s="1"/>
  <c r="AD46" i="8"/>
  <c r="AA46" i="23"/>
  <c r="AA98" i="23" s="1"/>
  <c r="AD39" i="8"/>
  <c r="AA39" i="23"/>
  <c r="AA91" i="23" s="1"/>
  <c r="AD29" i="8"/>
  <c r="AA29" i="23"/>
  <c r="AA81" i="23" s="1"/>
  <c r="F7" i="25"/>
  <c r="F13" i="25" s="1"/>
  <c r="AB48" i="7"/>
  <c r="AB40" i="7"/>
  <c r="AD45" i="8"/>
  <c r="AA45" i="23"/>
  <c r="AA97" i="23" s="1"/>
  <c r="AD25" i="8"/>
  <c r="AA25" i="23"/>
  <c r="AA77" i="23" s="1"/>
  <c r="J7" i="25"/>
  <c r="J13" i="25" s="1"/>
  <c r="V37" i="24"/>
  <c r="V80" i="24" s="1"/>
  <c r="V29" i="24"/>
  <c r="V72" i="24" s="1"/>
  <c r="AI15" i="8"/>
  <c r="AE15" i="23" s="1"/>
  <c r="AE67" i="23" s="1"/>
  <c r="AI10" i="8"/>
  <c r="AE10" i="23" s="1"/>
  <c r="AE62" i="23" s="1"/>
  <c r="AI6" i="8"/>
  <c r="AE6" i="23" s="1"/>
  <c r="AE58" i="23" s="1"/>
  <c r="U11" i="25" s="1"/>
  <c r="R38" i="24"/>
  <c r="R81" i="24" s="1"/>
  <c r="R30" i="24"/>
  <c r="R73" i="24" s="1"/>
  <c r="V26" i="24"/>
  <c r="V69" i="24" s="1"/>
  <c r="V39" i="24"/>
  <c r="V82" i="24" s="1"/>
  <c r="AI32" i="8"/>
  <c r="AE32" i="23" s="1"/>
  <c r="AE84" i="23" s="1"/>
  <c r="AI48" i="8"/>
  <c r="AE48" i="23" s="1"/>
  <c r="AE100" i="23" s="1"/>
  <c r="AI19" i="8"/>
  <c r="AE19" i="23" s="1"/>
  <c r="AE71" i="23" s="1"/>
  <c r="R40" i="24"/>
  <c r="R83" i="24" s="1"/>
  <c r="R12" i="24"/>
  <c r="R55" i="24" s="1"/>
  <c r="V36" i="24"/>
  <c r="V79" i="24" s="1"/>
  <c r="V23" i="24"/>
  <c r="V66" i="24" s="1"/>
  <c r="AI34" i="8"/>
  <c r="AE34" i="23" s="1"/>
  <c r="AE86" i="23" s="1"/>
  <c r="AI30" i="8"/>
  <c r="AE30" i="23" s="1"/>
  <c r="AE82" i="23" s="1"/>
  <c r="R36" i="24"/>
  <c r="R79" i="24" s="1"/>
  <c r="V21" i="24"/>
  <c r="V64" i="24" s="1"/>
  <c r="V12" i="24"/>
  <c r="V55" i="24" s="1"/>
  <c r="W18" i="12"/>
  <c r="W38" i="13"/>
  <c r="W42" i="12"/>
  <c r="W30" i="13"/>
  <c r="X49" i="12"/>
  <c r="Q53" i="8"/>
  <c r="W8" i="13"/>
  <c r="W34" i="12"/>
  <c r="W41" i="12"/>
  <c r="M14" i="8"/>
  <c r="M14" i="23" s="1"/>
  <c r="M66" i="23" s="1"/>
  <c r="M36" i="8"/>
  <c r="M36" i="23" s="1"/>
  <c r="M88" i="23" s="1"/>
  <c r="M18" i="8"/>
  <c r="M18" i="23" s="1"/>
  <c r="M70" i="23" s="1"/>
  <c r="M26" i="8"/>
  <c r="M26" i="23" s="1"/>
  <c r="M78" i="23" s="1"/>
  <c r="W36" i="13"/>
  <c r="T58" i="6"/>
  <c r="T56" i="9"/>
  <c r="T56" i="8"/>
  <c r="T56" i="7"/>
  <c r="W5" i="13"/>
  <c r="T44" i="13"/>
  <c r="F29" i="5"/>
  <c r="T57" i="6"/>
  <c r="T55" i="9"/>
  <c r="T55" i="8"/>
  <c r="T55" i="7"/>
  <c r="W5" i="12"/>
  <c r="T44" i="12"/>
  <c r="W18" i="13"/>
  <c r="V53" i="9"/>
  <c r="W11" i="12"/>
  <c r="W25" i="12"/>
  <c r="W13" i="12"/>
  <c r="W9" i="13"/>
  <c r="W21" i="12"/>
  <c r="W29" i="12"/>
  <c r="P44" i="12"/>
  <c r="W16" i="13"/>
  <c r="W19" i="12"/>
  <c r="W23" i="13"/>
  <c r="W15" i="12"/>
  <c r="W20" i="13"/>
  <c r="Y45" i="9"/>
  <c r="AB45" i="9" s="1"/>
  <c r="Y47" i="9"/>
  <c r="AB47" i="9" s="1"/>
  <c r="Y41" i="9"/>
  <c r="AB41" i="9" s="1"/>
  <c r="Y43" i="9"/>
  <c r="AB43" i="9" s="1"/>
  <c r="AB43" i="7"/>
  <c r="Y37" i="9"/>
  <c r="AB37" i="9" s="1"/>
  <c r="Y39" i="9"/>
  <c r="AB39" i="9" s="1"/>
  <c r="Y49" i="9"/>
  <c r="AB49" i="9" s="1"/>
  <c r="Y6" i="9"/>
  <c r="AB6" i="9" s="1"/>
  <c r="AB6" i="7"/>
  <c r="Y8" i="9"/>
  <c r="AB8" i="9" s="1"/>
  <c r="Y16" i="9"/>
  <c r="AB16" i="9" s="1"/>
  <c r="Y13" i="9"/>
  <c r="AB13" i="9" s="1"/>
  <c r="Y25" i="9"/>
  <c r="AB25" i="9" s="1"/>
  <c r="AH53" i="8"/>
  <c r="V38" i="8"/>
  <c r="U38" i="23" s="1"/>
  <c r="U90" i="23" s="1"/>
  <c r="V24" i="8"/>
  <c r="U24" i="23" s="1"/>
  <c r="U76" i="23" s="1"/>
  <c r="V8" i="8"/>
  <c r="U8" i="23" s="1"/>
  <c r="U60" i="23" s="1"/>
  <c r="V33" i="8"/>
  <c r="U33" i="23" s="1"/>
  <c r="U85" i="23" s="1"/>
  <c r="V17" i="8"/>
  <c r="U17" i="23" s="1"/>
  <c r="U69" i="23" s="1"/>
  <c r="M15" i="8"/>
  <c r="M15" i="23" s="1"/>
  <c r="M67" i="23" s="1"/>
  <c r="M49" i="8"/>
  <c r="M49" i="23" s="1"/>
  <c r="M101" i="23" s="1"/>
  <c r="AC53" i="8"/>
  <c r="AD5" i="8"/>
  <c r="O53" i="8"/>
  <c r="AM56" i="6"/>
  <c r="AM54" i="9"/>
  <c r="AM54" i="7"/>
  <c r="AM54" i="8" s="1"/>
  <c r="L49" i="10"/>
  <c r="AA5" i="13"/>
  <c r="AA44" i="13" s="1"/>
  <c r="Z44" i="13"/>
  <c r="W14" i="13"/>
  <c r="V44" i="13"/>
  <c r="U53" i="8"/>
  <c r="V40" i="8"/>
  <c r="U40" i="23" s="1"/>
  <c r="U92" i="23" s="1"/>
  <c r="V26" i="8"/>
  <c r="U26" i="23" s="1"/>
  <c r="U78" i="23" s="1"/>
  <c r="V10" i="8"/>
  <c r="U10" i="23" s="1"/>
  <c r="U62" i="23" s="1"/>
  <c r="V35" i="8"/>
  <c r="U35" i="23" s="1"/>
  <c r="U87" i="23" s="1"/>
  <c r="V19" i="8"/>
  <c r="U19" i="23" s="1"/>
  <c r="U71" i="23" s="1"/>
  <c r="V6" i="8"/>
  <c r="U6" i="23" s="1"/>
  <c r="U58" i="23" s="1"/>
  <c r="W7" i="12"/>
  <c r="W37" i="13"/>
  <c r="W22" i="12"/>
  <c r="W26" i="13"/>
  <c r="W33" i="12"/>
  <c r="Q46" i="13"/>
  <c r="Q46" i="12"/>
  <c r="Q46" i="11"/>
  <c r="Q46" i="10"/>
  <c r="Y51" i="9"/>
  <c r="AB51" i="9" s="1"/>
  <c r="Y31" i="9"/>
  <c r="AB31" i="9" s="1"/>
  <c r="Y29" i="9"/>
  <c r="AB29" i="9" s="1"/>
  <c r="Y27" i="9"/>
  <c r="AB27" i="9" s="1"/>
  <c r="Y24" i="9"/>
  <c r="AB24" i="9" s="1"/>
  <c r="Y22" i="9"/>
  <c r="AB22" i="9" s="1"/>
  <c r="Y33" i="9"/>
  <c r="AB33" i="9" s="1"/>
  <c r="Y9" i="9"/>
  <c r="AB9" i="9" s="1"/>
  <c r="AB9" i="7"/>
  <c r="Y10" i="9"/>
  <c r="AB10" i="9" s="1"/>
  <c r="Y18" i="9"/>
  <c r="AB18" i="9" s="1"/>
  <c r="Y15" i="9"/>
  <c r="AB15" i="9" s="1"/>
  <c r="AB15" i="7"/>
  <c r="M53" i="9"/>
  <c r="M43" i="8"/>
  <c r="M43" i="23" s="1"/>
  <c r="M95" i="23" s="1"/>
  <c r="W11" i="13"/>
  <c r="W25" i="13"/>
  <c r="W13" i="13"/>
  <c r="AA44" i="11"/>
  <c r="S34" i="8"/>
  <c r="S45" i="8"/>
  <c r="S31" i="8"/>
  <c r="S50" i="8"/>
  <c r="S47" i="8"/>
  <c r="S36" i="8"/>
  <c r="S17" i="8"/>
  <c r="S25" i="8"/>
  <c r="S22" i="8"/>
  <c r="S51" i="8"/>
  <c r="S27" i="8"/>
  <c r="S16" i="8"/>
  <c r="S24" i="8"/>
  <c r="S33" i="8"/>
  <c r="S44" i="8"/>
  <c r="S41" i="8"/>
  <c r="S43" i="8"/>
  <c r="S48" i="8"/>
  <c r="S7" i="8"/>
  <c r="S10" i="8"/>
  <c r="S14" i="8"/>
  <c r="S30" i="8"/>
  <c r="S8" i="8"/>
  <c r="S11" i="8"/>
  <c r="S19" i="8"/>
  <c r="S40" i="8"/>
  <c r="S37" i="8"/>
  <c r="S46" i="8"/>
  <c r="S13" i="8"/>
  <c r="S29" i="8"/>
  <c r="S18" i="8"/>
  <c r="S26" i="8"/>
  <c r="S42" i="8"/>
  <c r="S5" i="8"/>
  <c r="S15" i="8"/>
  <c r="S23" i="8"/>
  <c r="S20" i="8"/>
  <c r="S28" i="8"/>
  <c r="S35" i="8"/>
  <c r="S39" i="8"/>
  <c r="S38" i="8"/>
  <c r="S32" i="8"/>
  <c r="S6" i="8"/>
  <c r="S21" i="8"/>
  <c r="S9" i="8"/>
  <c r="S12" i="8"/>
  <c r="S49" i="8"/>
  <c r="N44" i="13"/>
  <c r="W9" i="12"/>
  <c r="W21" i="13"/>
  <c r="W29" i="13"/>
  <c r="P44" i="13"/>
  <c r="P53" i="8"/>
  <c r="W16" i="12"/>
  <c r="W19" i="13"/>
  <c r="W23" i="12"/>
  <c r="W15" i="13"/>
  <c r="W20" i="12"/>
  <c r="V44" i="12"/>
  <c r="Y35" i="9"/>
  <c r="AB35" i="9" s="1"/>
  <c r="Y38" i="9"/>
  <c r="AB38" i="9" s="1"/>
  <c r="AB38" i="7"/>
  <c r="Y50" i="9"/>
  <c r="AB50" i="9" s="1"/>
  <c r="Y48" i="9"/>
  <c r="AB48" i="9" s="1"/>
  <c r="Y46" i="9"/>
  <c r="AB46" i="9" s="1"/>
  <c r="AB46" i="7"/>
  <c r="Y42" i="9"/>
  <c r="AB42" i="9" s="1"/>
  <c r="Y40" i="9"/>
  <c r="AB40" i="9" s="1"/>
  <c r="Y5" i="9"/>
  <c r="AB5" i="9" s="1"/>
  <c r="Y53" i="7"/>
  <c r="Y58" i="7" s="1"/>
  <c r="Y47" i="8" s="1"/>
  <c r="X47" i="23" s="1"/>
  <c r="X99" i="23" s="1"/>
  <c r="Y12" i="9"/>
  <c r="AB12" i="9" s="1"/>
  <c r="AB12" i="7"/>
  <c r="Y20" i="9"/>
  <c r="AB20" i="9" s="1"/>
  <c r="AB20" i="7"/>
  <c r="Y17" i="9"/>
  <c r="AB17" i="9" s="1"/>
  <c r="V49" i="8"/>
  <c r="U49" i="23" s="1"/>
  <c r="U101" i="23" s="1"/>
  <c r="V32" i="8"/>
  <c r="U32" i="23" s="1"/>
  <c r="U84" i="23" s="1"/>
  <c r="V16" i="8"/>
  <c r="U16" i="23" s="1"/>
  <c r="U68" i="23" s="1"/>
  <c r="V39" i="8"/>
  <c r="U39" i="23" s="1"/>
  <c r="U91" i="23" s="1"/>
  <c r="V25" i="8"/>
  <c r="U25" i="23" s="1"/>
  <c r="U77" i="23" s="1"/>
  <c r="V9" i="8"/>
  <c r="U9" i="23" s="1"/>
  <c r="U61" i="23" s="1"/>
  <c r="X53" i="8"/>
  <c r="L53" i="8"/>
  <c r="M45" i="8"/>
  <c r="M45" i="23" s="1"/>
  <c r="M97" i="23" s="1"/>
  <c r="AB44" i="7"/>
  <c r="AB45" i="7"/>
  <c r="AB42" i="7"/>
  <c r="F47" i="5"/>
  <c r="W44" i="11"/>
  <c r="W17" i="13"/>
  <c r="W34" i="13"/>
  <c r="AA5" i="12"/>
  <c r="AA44" i="12" s="1"/>
  <c r="Z44" i="12"/>
  <c r="R47" i="8"/>
  <c r="R47" i="23" s="1"/>
  <c r="R99" i="23" s="1"/>
  <c r="R34" i="8"/>
  <c r="R34" i="23" s="1"/>
  <c r="R86" i="23" s="1"/>
  <c r="R45" i="8"/>
  <c r="R45" i="23" s="1"/>
  <c r="R97" i="23" s="1"/>
  <c r="R50" i="8"/>
  <c r="R50" i="23" s="1"/>
  <c r="R102" i="23" s="1"/>
  <c r="R31" i="8"/>
  <c r="R31" i="23" s="1"/>
  <c r="R83" i="23" s="1"/>
  <c r="R35" i="8"/>
  <c r="R35" i="23" s="1"/>
  <c r="R87" i="23" s="1"/>
  <c r="R39" i="8"/>
  <c r="R39" i="23" s="1"/>
  <c r="R91" i="23" s="1"/>
  <c r="R49" i="8"/>
  <c r="R49" i="23" s="1"/>
  <c r="R101" i="23" s="1"/>
  <c r="R7" i="8"/>
  <c r="R7" i="23" s="1"/>
  <c r="R59" i="23" s="1"/>
  <c r="R10" i="8"/>
  <c r="R10" i="23" s="1"/>
  <c r="R62" i="23" s="1"/>
  <c r="R14" i="8"/>
  <c r="R14" i="23" s="1"/>
  <c r="R66" i="23" s="1"/>
  <c r="R30" i="8"/>
  <c r="R30" i="23" s="1"/>
  <c r="R82" i="23" s="1"/>
  <c r="R8" i="8"/>
  <c r="R8" i="23" s="1"/>
  <c r="R60" i="23" s="1"/>
  <c r="R11" i="8"/>
  <c r="R11" i="23" s="1"/>
  <c r="R63" i="23" s="1"/>
  <c r="R19" i="8"/>
  <c r="R19" i="23" s="1"/>
  <c r="R71" i="23" s="1"/>
  <c r="R42" i="8"/>
  <c r="R42" i="23" s="1"/>
  <c r="R94" i="23" s="1"/>
  <c r="R5" i="8"/>
  <c r="R5" i="23" s="1"/>
  <c r="R57" i="23" s="1"/>
  <c r="R17" i="8"/>
  <c r="R17" i="23" s="1"/>
  <c r="R69" i="23" s="1"/>
  <c r="R25" i="8"/>
  <c r="R25" i="23" s="1"/>
  <c r="R77" i="23" s="1"/>
  <c r="R22" i="8"/>
  <c r="R51" i="8"/>
  <c r="R51" i="23" s="1"/>
  <c r="R103" i="23" s="1"/>
  <c r="R27" i="8"/>
  <c r="R16" i="8"/>
  <c r="R16" i="23" s="1"/>
  <c r="R68" i="23" s="1"/>
  <c r="R24" i="8"/>
  <c r="R38" i="8"/>
  <c r="R38" i="23" s="1"/>
  <c r="R90" i="23" s="1"/>
  <c r="R32" i="8"/>
  <c r="R32" i="23" s="1"/>
  <c r="R84" i="23" s="1"/>
  <c r="R6" i="8"/>
  <c r="R6" i="23" s="1"/>
  <c r="R58" i="23" s="1"/>
  <c r="R21" i="8"/>
  <c r="R33" i="8"/>
  <c r="R33" i="23" s="1"/>
  <c r="R85" i="23" s="1"/>
  <c r="R44" i="8"/>
  <c r="R44" i="23" s="1"/>
  <c r="R96" i="23" s="1"/>
  <c r="R41" i="8"/>
  <c r="R41" i="23" s="1"/>
  <c r="R93" i="23" s="1"/>
  <c r="R43" i="8"/>
  <c r="R43" i="23" s="1"/>
  <c r="R95" i="23" s="1"/>
  <c r="R48" i="8"/>
  <c r="R48" i="23" s="1"/>
  <c r="R100" i="23" s="1"/>
  <c r="R9" i="8"/>
  <c r="R9" i="23" s="1"/>
  <c r="R61" i="23" s="1"/>
  <c r="R12" i="8"/>
  <c r="R12" i="23" s="1"/>
  <c r="R64" i="23" s="1"/>
  <c r="R36" i="8"/>
  <c r="R36" i="23" s="1"/>
  <c r="R88" i="23" s="1"/>
  <c r="R40" i="8"/>
  <c r="R40" i="23" s="1"/>
  <c r="R92" i="23" s="1"/>
  <c r="R37" i="8"/>
  <c r="R37" i="23" s="1"/>
  <c r="R89" i="23" s="1"/>
  <c r="R46" i="8"/>
  <c r="R46" i="23" s="1"/>
  <c r="R98" i="23" s="1"/>
  <c r="R13" i="8"/>
  <c r="R13" i="23" s="1"/>
  <c r="R65" i="23" s="1"/>
  <c r="R29" i="8"/>
  <c r="R18" i="8"/>
  <c r="R18" i="23" s="1"/>
  <c r="R70" i="23" s="1"/>
  <c r="R26" i="8"/>
  <c r="R15" i="8"/>
  <c r="R15" i="23" s="1"/>
  <c r="R67" i="23" s="1"/>
  <c r="R23" i="8"/>
  <c r="R20" i="8"/>
  <c r="R20" i="23" s="1"/>
  <c r="R72" i="23" s="1"/>
  <c r="R28" i="8"/>
  <c r="L48" i="11"/>
  <c r="V48" i="8"/>
  <c r="U48" i="23" s="1"/>
  <c r="U100" i="23" s="1"/>
  <c r="V47" i="8"/>
  <c r="U47" i="23" s="1"/>
  <c r="U99" i="23" s="1"/>
  <c r="V20" i="8"/>
  <c r="V43" i="8"/>
  <c r="U43" i="23" s="1"/>
  <c r="U95" i="23" s="1"/>
  <c r="V29" i="8"/>
  <c r="U29" i="23" s="1"/>
  <c r="U81" i="23" s="1"/>
  <c r="V13" i="8"/>
  <c r="U13" i="23" s="1"/>
  <c r="U65" i="23" s="1"/>
  <c r="N44" i="12"/>
  <c r="AB47" i="13"/>
  <c r="AB47" i="12"/>
  <c r="AB47" i="11"/>
  <c r="AB47" i="10"/>
  <c r="W14" i="12"/>
  <c r="V46" i="8"/>
  <c r="U46" i="23" s="1"/>
  <c r="U98" i="23" s="1"/>
  <c r="V34" i="8"/>
  <c r="U34" i="23" s="1"/>
  <c r="U86" i="23" s="1"/>
  <c r="V18" i="8"/>
  <c r="U18" i="23" s="1"/>
  <c r="U70" i="23" s="1"/>
  <c r="V41" i="8"/>
  <c r="U41" i="23" s="1"/>
  <c r="U93" i="23" s="1"/>
  <c r="V27" i="8"/>
  <c r="U27" i="23" s="1"/>
  <c r="U79" i="23" s="1"/>
  <c r="W7" i="13"/>
  <c r="W37" i="12"/>
  <c r="W22" i="13"/>
  <c r="W26" i="12"/>
  <c r="Y21" i="8"/>
  <c r="AB21" i="8" s="1"/>
  <c r="Y21" i="9"/>
  <c r="AB21" i="9" s="1"/>
  <c r="Y36" i="8"/>
  <c r="AB36" i="8" s="1"/>
  <c r="Y36" i="9"/>
  <c r="AB36" i="9" s="1"/>
  <c r="Y34" i="8"/>
  <c r="X34" i="23" s="1"/>
  <c r="X86" i="23" s="1"/>
  <c r="Y34" i="9"/>
  <c r="AB34" i="9" s="1"/>
  <c r="AB34" i="7"/>
  <c r="Y32" i="8"/>
  <c r="X32" i="23" s="1"/>
  <c r="X84" i="23" s="1"/>
  <c r="Y32" i="9"/>
  <c r="AB32" i="9" s="1"/>
  <c r="Y30" i="8"/>
  <c r="AB30" i="8" s="1"/>
  <c r="Y30" i="9"/>
  <c r="AB30" i="9" s="1"/>
  <c r="Y28" i="8"/>
  <c r="AB28" i="8" s="1"/>
  <c r="Y28" i="9"/>
  <c r="AB28" i="9" s="1"/>
  <c r="AB28" i="7"/>
  <c r="Y26" i="8"/>
  <c r="X26" i="23" s="1"/>
  <c r="X78" i="23" s="1"/>
  <c r="Y26" i="9"/>
  <c r="AB26" i="9" s="1"/>
  <c r="Y23" i="8"/>
  <c r="AB23" i="8" s="1"/>
  <c r="Y23" i="9"/>
  <c r="AB23" i="9" s="1"/>
  <c r="AB23" i="7"/>
  <c r="Y7" i="8"/>
  <c r="AB7" i="8" s="1"/>
  <c r="Y7" i="9"/>
  <c r="AB7" i="9" s="1"/>
  <c r="Y14" i="8"/>
  <c r="AB14" i="8" s="1"/>
  <c r="Y14" i="9"/>
  <c r="AB14" i="9" s="1"/>
  <c r="Y11" i="8"/>
  <c r="AB11" i="8" s="1"/>
  <c r="Y11" i="9"/>
  <c r="AB11" i="9" s="1"/>
  <c r="Y19" i="8"/>
  <c r="X19" i="23" s="1"/>
  <c r="X71" i="23" s="1"/>
  <c r="Y19" i="9"/>
  <c r="AB19" i="9" s="1"/>
  <c r="M5" i="8"/>
  <c r="M5" i="23" s="1"/>
  <c r="M57" i="23" s="1"/>
  <c r="M22" i="8"/>
  <c r="M22" i="23" s="1"/>
  <c r="M74" i="23" s="1"/>
  <c r="AB30" i="7"/>
  <c r="AB37" i="7"/>
  <c r="AB47" i="7"/>
  <c r="AB11" i="7"/>
  <c r="E42" i="5"/>
  <c r="E21" i="5"/>
  <c r="Q15" i="25" l="1"/>
  <c r="Q14" i="25"/>
  <c r="L15" i="26"/>
  <c r="L14" i="26"/>
  <c r="AB20" i="8"/>
  <c r="U20" i="23"/>
  <c r="U72" i="23" s="1"/>
  <c r="Y20" i="8"/>
  <c r="X20" i="23" s="1"/>
  <c r="X72" i="23" s="1"/>
  <c r="AI53" i="8"/>
  <c r="Q7" i="25"/>
  <c r="Q13" i="25" s="1"/>
  <c r="X11" i="23"/>
  <c r="X63" i="23" s="1"/>
  <c r="X23" i="23"/>
  <c r="X75" i="23" s="1"/>
  <c r="X30" i="23"/>
  <c r="X82" i="23" s="1"/>
  <c r="X36" i="23"/>
  <c r="X88" i="23" s="1"/>
  <c r="U9" i="25"/>
  <c r="L7" i="26"/>
  <c r="L13" i="26" s="1"/>
  <c r="H11" i="26"/>
  <c r="AB53" i="7"/>
  <c r="AD53" i="8"/>
  <c r="Q11" i="25"/>
  <c r="X14" i="23"/>
  <c r="X66" i="23" s="1"/>
  <c r="X21" i="23"/>
  <c r="X73" i="23" s="1"/>
  <c r="L11" i="26"/>
  <c r="H9" i="26"/>
  <c r="C9" i="25"/>
  <c r="C11" i="25"/>
  <c r="C7" i="25"/>
  <c r="C13" i="25" s="1"/>
  <c r="F14" i="25"/>
  <c r="F15" i="25"/>
  <c r="T15" i="25"/>
  <c r="T14" i="25"/>
  <c r="U7" i="25"/>
  <c r="U13" i="25" s="1"/>
  <c r="H9" i="25"/>
  <c r="H11" i="25"/>
  <c r="H7" i="25"/>
  <c r="H13" i="25" s="1"/>
  <c r="K9" i="25"/>
  <c r="K7" i="25"/>
  <c r="K13" i="25" s="1"/>
  <c r="K11" i="25"/>
  <c r="E15" i="25"/>
  <c r="E14" i="25"/>
  <c r="J15" i="25"/>
  <c r="J14" i="25"/>
  <c r="L14" i="25"/>
  <c r="L15" i="25"/>
  <c r="B15" i="25"/>
  <c r="B14" i="25"/>
  <c r="M14" i="25"/>
  <c r="M15" i="25"/>
  <c r="X7" i="23"/>
  <c r="X59" i="23" s="1"/>
  <c r="X28" i="23"/>
  <c r="X80" i="23" s="1"/>
  <c r="D14" i="26"/>
  <c r="D15" i="26"/>
  <c r="F14" i="26"/>
  <c r="F15" i="26"/>
  <c r="AB53" i="9"/>
  <c r="AB19" i="8"/>
  <c r="M53" i="8"/>
  <c r="AB34" i="8"/>
  <c r="AB32" i="8"/>
  <c r="Y12" i="8"/>
  <c r="Y44" i="8"/>
  <c r="Y35" i="8"/>
  <c r="X35" i="23" s="1"/>
  <c r="X87" i="23" s="1"/>
  <c r="Y40" i="8"/>
  <c r="Y48" i="8"/>
  <c r="Y9" i="8"/>
  <c r="X9" i="23" s="1"/>
  <c r="X61" i="23" s="1"/>
  <c r="Y22" i="8"/>
  <c r="Y27" i="8"/>
  <c r="Y31" i="8"/>
  <c r="Y49" i="8"/>
  <c r="Y37" i="8"/>
  <c r="W44" i="13"/>
  <c r="Y17" i="8"/>
  <c r="X17" i="23" s="1"/>
  <c r="X69" i="23" s="1"/>
  <c r="Y38" i="8"/>
  <c r="S53" i="8"/>
  <c r="Y15" i="8"/>
  <c r="Y10" i="8"/>
  <c r="L16" i="11"/>
  <c r="L9" i="11"/>
  <c r="L7" i="11"/>
  <c r="L5" i="11"/>
  <c r="L11" i="11"/>
  <c r="L10" i="11"/>
  <c r="L8" i="11"/>
  <c r="L6" i="11"/>
  <c r="L18" i="11"/>
  <c r="L34" i="11"/>
  <c r="L15" i="11"/>
  <c r="L17" i="11"/>
  <c r="L33" i="11"/>
  <c r="L28" i="11"/>
  <c r="L23" i="11"/>
  <c r="L39" i="11"/>
  <c r="L22" i="11"/>
  <c r="L38" i="11"/>
  <c r="L21" i="11"/>
  <c r="L37" i="11"/>
  <c r="L32" i="11"/>
  <c r="L27" i="11"/>
  <c r="L26" i="11"/>
  <c r="L42" i="11"/>
  <c r="L25" i="11"/>
  <c r="L41" i="11"/>
  <c r="L20" i="11"/>
  <c r="L36" i="11"/>
  <c r="L14" i="11"/>
  <c r="L31" i="11"/>
  <c r="L13" i="11"/>
  <c r="L24" i="11"/>
  <c r="L30" i="11"/>
  <c r="L40" i="11"/>
  <c r="L12" i="11"/>
  <c r="L19" i="11"/>
  <c r="L29" i="11"/>
  <c r="L35" i="11"/>
  <c r="Y25" i="8"/>
  <c r="Y16" i="8"/>
  <c r="Y41" i="8"/>
  <c r="Y45" i="8"/>
  <c r="W44" i="12"/>
  <c r="AE55" i="9"/>
  <c r="AE55" i="8"/>
  <c r="AO54" i="8" s="1"/>
  <c r="AE55" i="7"/>
  <c r="E43" i="5"/>
  <c r="X46" i="13"/>
  <c r="X46" i="12"/>
  <c r="X46" i="10"/>
  <c r="X46" i="11"/>
  <c r="X49" i="11" s="1"/>
  <c r="AB47" i="8"/>
  <c r="AB9" i="8"/>
  <c r="Y5" i="8"/>
  <c r="X5" i="23" s="1"/>
  <c r="X57" i="23" s="1"/>
  <c r="Y42" i="8"/>
  <c r="Y46" i="8"/>
  <c r="Y50" i="8"/>
  <c r="V53" i="8"/>
  <c r="Y33" i="8"/>
  <c r="Y24" i="8"/>
  <c r="Y29" i="8"/>
  <c r="Y51" i="8"/>
  <c r="AB26" i="8"/>
  <c r="AB17" i="8"/>
  <c r="Y6" i="8"/>
  <c r="Y39" i="8"/>
  <c r="AM58" i="6"/>
  <c r="AM56" i="9"/>
  <c r="AM56" i="8"/>
  <c r="AM56" i="7"/>
  <c r="R53" i="8"/>
  <c r="S58" i="8" s="1"/>
  <c r="Y18" i="8"/>
  <c r="Y53" i="9"/>
  <c r="Y13" i="8"/>
  <c r="Y8" i="8"/>
  <c r="Y43" i="8"/>
  <c r="E23" i="5"/>
  <c r="AE57" i="6"/>
  <c r="E47" i="5"/>
  <c r="AB33" i="8" l="1"/>
  <c r="X33" i="23"/>
  <c r="X85" i="23" s="1"/>
  <c r="AB25" i="8"/>
  <c r="X25" i="23"/>
  <c r="X77" i="23" s="1"/>
  <c r="AB29" i="8"/>
  <c r="X29" i="23"/>
  <c r="X81" i="23" s="1"/>
  <c r="AB41" i="8"/>
  <c r="X41" i="23"/>
  <c r="X93" i="23" s="1"/>
  <c r="AB38" i="8"/>
  <c r="X38" i="23"/>
  <c r="X90" i="23" s="1"/>
  <c r="AB49" i="8"/>
  <c r="X49" i="23"/>
  <c r="X101" i="23" s="1"/>
  <c r="AB22" i="8"/>
  <c r="X22" i="23"/>
  <c r="X74" i="23" s="1"/>
  <c r="H15" i="26"/>
  <c r="H14" i="26"/>
  <c r="AB8" i="8"/>
  <c r="X8" i="23"/>
  <c r="X60" i="23" s="1"/>
  <c r="AB6" i="8"/>
  <c r="X6" i="23"/>
  <c r="X58" i="23" s="1"/>
  <c r="AB50" i="8"/>
  <c r="X50" i="23"/>
  <c r="X102" i="23" s="1"/>
  <c r="AB43" i="8"/>
  <c r="X43" i="23"/>
  <c r="X95" i="23" s="1"/>
  <c r="AB18" i="8"/>
  <c r="X18" i="23"/>
  <c r="X70" i="23" s="1"/>
  <c r="AB24" i="8"/>
  <c r="X24" i="23"/>
  <c r="X76" i="23" s="1"/>
  <c r="AB46" i="8"/>
  <c r="X46" i="23"/>
  <c r="X98" i="23" s="1"/>
  <c r="AB16" i="8"/>
  <c r="X16" i="23"/>
  <c r="X68" i="23" s="1"/>
  <c r="AB10" i="8"/>
  <c r="X10" i="23"/>
  <c r="X62" i="23" s="1"/>
  <c r="AB35" i="8"/>
  <c r="AB44" i="8"/>
  <c r="X44" i="23"/>
  <c r="X96" i="23" s="1"/>
  <c r="H14" i="25"/>
  <c r="H15" i="25"/>
  <c r="AB42" i="8"/>
  <c r="X42" i="23"/>
  <c r="X94" i="23" s="1"/>
  <c r="AB15" i="8"/>
  <c r="X15" i="23"/>
  <c r="X67" i="23" s="1"/>
  <c r="AB31" i="8"/>
  <c r="X31" i="23"/>
  <c r="X83" i="23" s="1"/>
  <c r="AB48" i="8"/>
  <c r="X48" i="23"/>
  <c r="X100" i="23" s="1"/>
  <c r="AB12" i="8"/>
  <c r="X12" i="23"/>
  <c r="X64" i="23" s="1"/>
  <c r="N11" i="25" s="1"/>
  <c r="K15" i="25"/>
  <c r="K14" i="25"/>
  <c r="U14" i="25"/>
  <c r="U15" i="25"/>
  <c r="AB13" i="8"/>
  <c r="X13" i="23"/>
  <c r="X65" i="23" s="1"/>
  <c r="AB39" i="8"/>
  <c r="X39" i="23"/>
  <c r="X91" i="23" s="1"/>
  <c r="AB51" i="8"/>
  <c r="X51" i="23"/>
  <c r="X103" i="23" s="1"/>
  <c r="N9" i="25"/>
  <c r="AB45" i="8"/>
  <c r="X45" i="23"/>
  <c r="X97" i="23" s="1"/>
  <c r="L28" i="24"/>
  <c r="L71" i="24" s="1"/>
  <c r="AB37" i="8"/>
  <c r="X37" i="23"/>
  <c r="X89" i="23" s="1"/>
  <c r="AB27" i="8"/>
  <c r="X27" i="23"/>
  <c r="X79" i="23" s="1"/>
  <c r="AB40" i="8"/>
  <c r="X40" i="23"/>
  <c r="X92" i="23" s="1"/>
  <c r="C15" i="25"/>
  <c r="C14" i="25"/>
  <c r="L35" i="12"/>
  <c r="Q35" i="12" s="1"/>
  <c r="L35" i="13"/>
  <c r="Q35" i="13" s="1"/>
  <c r="Q35" i="11"/>
  <c r="AB35" i="11" s="1"/>
  <c r="L31" i="12"/>
  <c r="Q31" i="12" s="1"/>
  <c r="L31" i="13"/>
  <c r="Q31" i="13" s="1"/>
  <c r="Q31" i="11"/>
  <c r="AB31" i="11" s="1"/>
  <c r="L27" i="12"/>
  <c r="Q27" i="12" s="1"/>
  <c r="L27" i="13"/>
  <c r="Q27" i="13" s="1"/>
  <c r="Q27" i="11"/>
  <c r="AB27" i="11" s="1"/>
  <c r="L38" i="12"/>
  <c r="Q38" i="12" s="1"/>
  <c r="L38" i="13"/>
  <c r="Q38" i="13" s="1"/>
  <c r="Q38" i="11"/>
  <c r="AB38" i="11" s="1"/>
  <c r="Q28" i="11"/>
  <c r="AB28" i="11" s="1"/>
  <c r="L28" i="12"/>
  <c r="Q28" i="12" s="1"/>
  <c r="L28" i="13"/>
  <c r="Q28" i="13" s="1"/>
  <c r="L9" i="12"/>
  <c r="Q9" i="12" s="1"/>
  <c r="L9" i="13"/>
  <c r="Q9" i="13" s="1"/>
  <c r="Q9" i="11"/>
  <c r="AB9" i="11" s="1"/>
  <c r="L29" i="12"/>
  <c r="Q29" i="12" s="1"/>
  <c r="L29" i="13"/>
  <c r="Q29" i="13" s="1"/>
  <c r="Q29" i="11"/>
  <c r="AB29" i="11" s="1"/>
  <c r="L30" i="12"/>
  <c r="Q30" i="12" s="1"/>
  <c r="L30" i="13"/>
  <c r="Q30" i="13" s="1"/>
  <c r="Q30" i="11"/>
  <c r="AB30" i="11" s="1"/>
  <c r="L14" i="12"/>
  <c r="Q14" i="12" s="1"/>
  <c r="L14" i="13"/>
  <c r="Q14" i="13" s="1"/>
  <c r="Q14" i="11"/>
  <c r="AB14" i="11" s="1"/>
  <c r="L25" i="12"/>
  <c r="Q25" i="12" s="1"/>
  <c r="L25" i="13"/>
  <c r="Q25" i="13" s="1"/>
  <c r="Q25" i="11"/>
  <c r="AB25" i="11" s="1"/>
  <c r="L32" i="12"/>
  <c r="Q32" i="12" s="1"/>
  <c r="L32" i="13"/>
  <c r="Q32" i="13" s="1"/>
  <c r="Q32" i="11"/>
  <c r="AB32" i="11" s="1"/>
  <c r="L22" i="12"/>
  <c r="Q22" i="12" s="1"/>
  <c r="L22" i="13"/>
  <c r="Q22" i="13" s="1"/>
  <c r="Q22" i="11"/>
  <c r="AB22" i="11" s="1"/>
  <c r="L33" i="12"/>
  <c r="Q33" i="12" s="1"/>
  <c r="L33" i="13"/>
  <c r="Q33" i="13" s="1"/>
  <c r="Q33" i="11"/>
  <c r="AB33" i="11" s="1"/>
  <c r="L18" i="12"/>
  <c r="Q18" i="12" s="1"/>
  <c r="L18" i="13"/>
  <c r="Q18" i="13" s="1"/>
  <c r="Q18" i="11"/>
  <c r="AB18" i="11" s="1"/>
  <c r="L11" i="12"/>
  <c r="Q11" i="12" s="1"/>
  <c r="L11" i="13"/>
  <c r="Q11" i="13" s="1"/>
  <c r="Q11" i="11"/>
  <c r="AB11" i="11" s="1"/>
  <c r="L16" i="12"/>
  <c r="Q16" i="12" s="1"/>
  <c r="L16" i="13"/>
  <c r="Q16" i="13" s="1"/>
  <c r="Q16" i="11"/>
  <c r="AB16" i="11" s="1"/>
  <c r="S34" i="9"/>
  <c r="S34" i="23" s="1"/>
  <c r="S86" i="23" s="1"/>
  <c r="S47" i="9"/>
  <c r="S47" i="23" s="1"/>
  <c r="S99" i="23" s="1"/>
  <c r="S31" i="9"/>
  <c r="S31" i="23" s="1"/>
  <c r="S83" i="23" s="1"/>
  <c r="S50" i="9"/>
  <c r="S50" i="23" s="1"/>
  <c r="S102" i="23" s="1"/>
  <c r="S45" i="9"/>
  <c r="S45" i="23" s="1"/>
  <c r="S97" i="23" s="1"/>
  <c r="S40" i="9"/>
  <c r="S40" i="23" s="1"/>
  <c r="S92" i="23" s="1"/>
  <c r="S37" i="9"/>
  <c r="S37" i="23" s="1"/>
  <c r="S89" i="23" s="1"/>
  <c r="S46" i="9"/>
  <c r="S46" i="23" s="1"/>
  <c r="S98" i="23" s="1"/>
  <c r="S6" i="9"/>
  <c r="S6" i="23" s="1"/>
  <c r="S58" i="23" s="1"/>
  <c r="S13" i="9"/>
  <c r="S13" i="23" s="1"/>
  <c r="S65" i="23" s="1"/>
  <c r="S21" i="9"/>
  <c r="S21" i="23" s="1"/>
  <c r="S73" i="23" s="1"/>
  <c r="S29" i="9"/>
  <c r="S29" i="23" s="1"/>
  <c r="S81" i="23" s="1"/>
  <c r="S26" i="9"/>
  <c r="S26" i="23" s="1"/>
  <c r="S78" i="23" s="1"/>
  <c r="S41" i="9"/>
  <c r="S41" i="23" s="1"/>
  <c r="S93" i="23" s="1"/>
  <c r="S5" i="9"/>
  <c r="S5" i="23" s="1"/>
  <c r="S57" i="23" s="1"/>
  <c r="S9" i="9"/>
  <c r="S9" i="23" s="1"/>
  <c r="S61" i="23" s="1"/>
  <c r="S15" i="9"/>
  <c r="S15" i="23" s="1"/>
  <c r="S67" i="23" s="1"/>
  <c r="S23" i="9"/>
  <c r="S23" i="23" s="1"/>
  <c r="S75" i="23" s="1"/>
  <c r="S12" i="9"/>
  <c r="S12" i="23" s="1"/>
  <c r="S64" i="23" s="1"/>
  <c r="S20" i="9"/>
  <c r="S20" i="23" s="1"/>
  <c r="S72" i="23" s="1"/>
  <c r="S35" i="9"/>
  <c r="S35" i="23" s="1"/>
  <c r="S87" i="23" s="1"/>
  <c r="S39" i="9"/>
  <c r="S39" i="23" s="1"/>
  <c r="S91" i="23" s="1"/>
  <c r="S38" i="9"/>
  <c r="S38" i="23" s="1"/>
  <c r="S90" i="23" s="1"/>
  <c r="S32" i="9"/>
  <c r="S32" i="23" s="1"/>
  <c r="S84" i="23" s="1"/>
  <c r="S18" i="9"/>
  <c r="S18" i="23" s="1"/>
  <c r="S70" i="23" s="1"/>
  <c r="S28" i="9"/>
  <c r="S28" i="23" s="1"/>
  <c r="S80" i="23" s="1"/>
  <c r="S49" i="9"/>
  <c r="S49" i="23" s="1"/>
  <c r="S101" i="23" s="1"/>
  <c r="S36" i="9"/>
  <c r="S36" i="23" s="1"/>
  <c r="S88" i="23" s="1"/>
  <c r="S7" i="9"/>
  <c r="S7" i="23" s="1"/>
  <c r="S59" i="23" s="1"/>
  <c r="S10" i="9"/>
  <c r="S10" i="23" s="1"/>
  <c r="S62" i="23" s="1"/>
  <c r="S14" i="9"/>
  <c r="S14" i="23" s="1"/>
  <c r="S66" i="23" s="1"/>
  <c r="S51" i="9"/>
  <c r="S51" i="23" s="1"/>
  <c r="S103" i="23" s="1"/>
  <c r="S30" i="9"/>
  <c r="S30" i="23" s="1"/>
  <c r="S82" i="23" s="1"/>
  <c r="S8" i="9"/>
  <c r="S8" i="23" s="1"/>
  <c r="S60" i="23" s="1"/>
  <c r="S27" i="9"/>
  <c r="S27" i="23" s="1"/>
  <c r="S79" i="23" s="1"/>
  <c r="S16" i="9"/>
  <c r="S16" i="23" s="1"/>
  <c r="S68" i="23" s="1"/>
  <c r="S24" i="9"/>
  <c r="S24" i="23" s="1"/>
  <c r="S76" i="23" s="1"/>
  <c r="S33" i="9"/>
  <c r="S33" i="23" s="1"/>
  <c r="S85" i="23" s="1"/>
  <c r="S42" i="9"/>
  <c r="S42" i="23" s="1"/>
  <c r="S94" i="23" s="1"/>
  <c r="S44" i="9"/>
  <c r="S44" i="23" s="1"/>
  <c r="S96" i="23" s="1"/>
  <c r="S43" i="9"/>
  <c r="S43" i="23" s="1"/>
  <c r="S95" i="23" s="1"/>
  <c r="S48" i="9"/>
  <c r="S48" i="23" s="1"/>
  <c r="S100" i="23" s="1"/>
  <c r="S17" i="9"/>
  <c r="S17" i="23" s="1"/>
  <c r="S69" i="23" s="1"/>
  <c r="S25" i="9"/>
  <c r="S25" i="23" s="1"/>
  <c r="S77" i="23" s="1"/>
  <c r="S22" i="9"/>
  <c r="S22" i="23" s="1"/>
  <c r="S74" i="23" s="1"/>
  <c r="S11" i="9"/>
  <c r="S11" i="23" s="1"/>
  <c r="S63" i="23" s="1"/>
  <c r="S19" i="9"/>
  <c r="S19" i="23" s="1"/>
  <c r="S71" i="23" s="1"/>
  <c r="Q41" i="11"/>
  <c r="AB41" i="11" s="1"/>
  <c r="L41" i="12"/>
  <c r="Q41" i="12" s="1"/>
  <c r="L41" i="13"/>
  <c r="Q41" i="13" s="1"/>
  <c r="L34" i="12"/>
  <c r="Q34" i="12" s="1"/>
  <c r="L34" i="13"/>
  <c r="Q34" i="13" s="1"/>
  <c r="Q34" i="11"/>
  <c r="AB34" i="11" s="1"/>
  <c r="Y53" i="8"/>
  <c r="AB5" i="8"/>
  <c r="AB53" i="8" s="1"/>
  <c r="L19" i="12"/>
  <c r="Q19" i="12" s="1"/>
  <c r="L19" i="13"/>
  <c r="Q19" i="13" s="1"/>
  <c r="Q19" i="11"/>
  <c r="AB19" i="11" s="1"/>
  <c r="L24" i="12"/>
  <c r="Q24" i="12" s="1"/>
  <c r="L24" i="13"/>
  <c r="Q24" i="13" s="1"/>
  <c r="Q24" i="11"/>
  <c r="AB24" i="11" s="1"/>
  <c r="L36" i="12"/>
  <c r="Q36" i="12" s="1"/>
  <c r="L36" i="13"/>
  <c r="Q36" i="13" s="1"/>
  <c r="Q36" i="11"/>
  <c r="AB36" i="11" s="1"/>
  <c r="Q42" i="11"/>
  <c r="AB42" i="11" s="1"/>
  <c r="L42" i="12"/>
  <c r="Q42" i="12" s="1"/>
  <c r="L42" i="13"/>
  <c r="Q42" i="13" s="1"/>
  <c r="L37" i="12"/>
  <c r="Q37" i="12" s="1"/>
  <c r="L37" i="13"/>
  <c r="Q37" i="13" s="1"/>
  <c r="Q37" i="11"/>
  <c r="AB37" i="11" s="1"/>
  <c r="Q39" i="11"/>
  <c r="AB39" i="11" s="1"/>
  <c r="L39" i="12"/>
  <c r="Q39" i="12" s="1"/>
  <c r="L39" i="13"/>
  <c r="Q39" i="13" s="1"/>
  <c r="L17" i="12"/>
  <c r="Q17" i="12" s="1"/>
  <c r="L17" i="13"/>
  <c r="Q17" i="13" s="1"/>
  <c r="Q17" i="11"/>
  <c r="AB17" i="11" s="1"/>
  <c r="L6" i="12"/>
  <c r="Q6" i="12" s="1"/>
  <c r="L6" i="13"/>
  <c r="Q6" i="13" s="1"/>
  <c r="Q6" i="11"/>
  <c r="AB6" i="11" s="1"/>
  <c r="L5" i="12"/>
  <c r="L5" i="24" s="1"/>
  <c r="L48" i="24" s="1"/>
  <c r="L44" i="11"/>
  <c r="L5" i="13"/>
  <c r="Q5" i="11"/>
  <c r="Q40" i="11"/>
  <c r="AB40" i="11" s="1"/>
  <c r="L40" i="12"/>
  <c r="Q40" i="12" s="1"/>
  <c r="L40" i="13"/>
  <c r="Q40" i="13" s="1"/>
  <c r="L10" i="12"/>
  <c r="Q10" i="12" s="1"/>
  <c r="L10" i="13"/>
  <c r="Q10" i="13" s="1"/>
  <c r="Q10" i="11"/>
  <c r="AB10" i="11" s="1"/>
  <c r="AG57" i="6"/>
  <c r="AG55" i="9"/>
  <c r="AG55" i="8"/>
  <c r="AG55" i="7"/>
  <c r="E29" i="5"/>
  <c r="E46" i="5"/>
  <c r="Y46" i="13"/>
  <c r="Y46" i="12"/>
  <c r="Y46" i="11"/>
  <c r="Y46" i="10"/>
  <c r="L12" i="12"/>
  <c r="Q12" i="12" s="1"/>
  <c r="L12" i="13"/>
  <c r="Q12" i="13" s="1"/>
  <c r="Q12" i="11"/>
  <c r="AB12" i="11" s="1"/>
  <c r="L13" i="12"/>
  <c r="Q13" i="12" s="1"/>
  <c r="L13" i="13"/>
  <c r="Q13" i="13" s="1"/>
  <c r="Q13" i="11"/>
  <c r="AB13" i="11" s="1"/>
  <c r="L20" i="12"/>
  <c r="Q20" i="12" s="1"/>
  <c r="L20" i="13"/>
  <c r="Q20" i="13" s="1"/>
  <c r="Q20" i="11"/>
  <c r="AB20" i="11" s="1"/>
  <c r="L26" i="12"/>
  <c r="Q26" i="12" s="1"/>
  <c r="L26" i="13"/>
  <c r="Q26" i="13" s="1"/>
  <c r="Q26" i="11"/>
  <c r="AB26" i="11" s="1"/>
  <c r="L21" i="12"/>
  <c r="Q21" i="12" s="1"/>
  <c r="L21" i="13"/>
  <c r="Q21" i="13" s="1"/>
  <c r="Q21" i="11"/>
  <c r="AB21" i="11" s="1"/>
  <c r="L23" i="12"/>
  <c r="Q23" i="12" s="1"/>
  <c r="L23" i="13"/>
  <c r="Q23" i="13" s="1"/>
  <c r="Q23" i="11"/>
  <c r="AB23" i="11" s="1"/>
  <c r="L15" i="12"/>
  <c r="Q15" i="12" s="1"/>
  <c r="L15" i="13"/>
  <c r="Q15" i="13" s="1"/>
  <c r="Q15" i="11"/>
  <c r="AB15" i="11" s="1"/>
  <c r="L8" i="12"/>
  <c r="Q8" i="12" s="1"/>
  <c r="L8" i="13"/>
  <c r="Q8" i="13" s="1"/>
  <c r="Q8" i="11"/>
  <c r="AB8" i="11" s="1"/>
  <c r="L7" i="12"/>
  <c r="Q7" i="12" s="1"/>
  <c r="L7" i="13"/>
  <c r="Q7" i="13" s="1"/>
  <c r="Q7" i="11"/>
  <c r="AB7" i="11" s="1"/>
  <c r="I9" i="25" l="1"/>
  <c r="I11" i="25"/>
  <c r="I7" i="25"/>
  <c r="I13" i="25" s="1"/>
  <c r="L10" i="24"/>
  <c r="L53" i="24" s="1"/>
  <c r="L27" i="24"/>
  <c r="L70" i="24" s="1"/>
  <c r="L26" i="24"/>
  <c r="L69" i="24" s="1"/>
  <c r="L12" i="24"/>
  <c r="L55" i="24" s="1"/>
  <c r="L17" i="24"/>
  <c r="L60" i="24" s="1"/>
  <c r="L36" i="24"/>
  <c r="L79" i="24" s="1"/>
  <c r="L33" i="24"/>
  <c r="L76" i="24" s="1"/>
  <c r="L14" i="24"/>
  <c r="L57" i="24" s="1"/>
  <c r="N7" i="25"/>
  <c r="N13" i="25" s="1"/>
  <c r="L34" i="24"/>
  <c r="L77" i="24" s="1"/>
  <c r="L41" i="24"/>
  <c r="L84" i="24" s="1"/>
  <c r="L13" i="24"/>
  <c r="L56" i="24" s="1"/>
  <c r="L39" i="24"/>
  <c r="L82" i="24" s="1"/>
  <c r="L24" i="24"/>
  <c r="L67" i="24" s="1"/>
  <c r="L35" i="24"/>
  <c r="L78" i="24" s="1"/>
  <c r="L16" i="24"/>
  <c r="L59" i="24" s="1"/>
  <c r="L22" i="24"/>
  <c r="L65" i="24" s="1"/>
  <c r="L30" i="24"/>
  <c r="L73" i="24" s="1"/>
  <c r="L31" i="24"/>
  <c r="L74" i="24" s="1"/>
  <c r="N15" i="25"/>
  <c r="N14" i="25"/>
  <c r="L7" i="24"/>
  <c r="L50" i="24" s="1"/>
  <c r="L8" i="24"/>
  <c r="L51" i="24" s="1"/>
  <c r="L37" i="24"/>
  <c r="L80" i="24" s="1"/>
  <c r="L19" i="24"/>
  <c r="L62" i="24" s="1"/>
  <c r="L20" i="24"/>
  <c r="L63" i="24" s="1"/>
  <c r="L11" i="24"/>
  <c r="L54" i="24" s="1"/>
  <c r="L32" i="24"/>
  <c r="L75" i="24" s="1"/>
  <c r="L29" i="24"/>
  <c r="L72" i="24" s="1"/>
  <c r="L9" i="24"/>
  <c r="L52" i="24" s="1"/>
  <c r="L38" i="24"/>
  <c r="L81" i="24" s="1"/>
  <c r="L40" i="24"/>
  <c r="L83" i="24" s="1"/>
  <c r="L15" i="24"/>
  <c r="L58" i="24" s="1"/>
  <c r="L21" i="24"/>
  <c r="L64" i="24" s="1"/>
  <c r="L6" i="24"/>
  <c r="L49" i="24" s="1"/>
  <c r="B9" i="26" s="1"/>
  <c r="L42" i="24"/>
  <c r="L85" i="24" s="1"/>
  <c r="L18" i="24"/>
  <c r="L61" i="24" s="1"/>
  <c r="L25" i="24"/>
  <c r="L68" i="24" s="1"/>
  <c r="L23" i="24"/>
  <c r="L66" i="24" s="1"/>
  <c r="X15" i="12"/>
  <c r="Y15" i="12" s="1"/>
  <c r="AB15" i="12" s="1"/>
  <c r="X15" i="13"/>
  <c r="X20" i="12"/>
  <c r="Y20" i="12" s="1"/>
  <c r="X20" i="13"/>
  <c r="X40" i="12"/>
  <c r="Y40" i="12" s="1"/>
  <c r="X40" i="13"/>
  <c r="L44" i="12"/>
  <c r="Q5" i="12"/>
  <c r="X17" i="12"/>
  <c r="Y17" i="12" s="1"/>
  <c r="AB17" i="12" s="1"/>
  <c r="X17" i="13"/>
  <c r="X36" i="12"/>
  <c r="Y36" i="12" s="1"/>
  <c r="X36" i="13"/>
  <c r="X41" i="12"/>
  <c r="Y41" i="12" s="1"/>
  <c r="X41" i="13"/>
  <c r="X16" i="12"/>
  <c r="Y16" i="12" s="1"/>
  <c r="X16" i="13"/>
  <c r="X22" i="12"/>
  <c r="Y22" i="12" s="1"/>
  <c r="X22" i="13"/>
  <c r="X30" i="12"/>
  <c r="Y30" i="12" s="1"/>
  <c r="X30" i="13"/>
  <c r="X38" i="12"/>
  <c r="Y38" i="12" s="1"/>
  <c r="X38" i="13"/>
  <c r="X8" i="12"/>
  <c r="Y8" i="12" s="1"/>
  <c r="X8" i="13"/>
  <c r="X26" i="12"/>
  <c r="Y26" i="12" s="1"/>
  <c r="X26" i="13"/>
  <c r="AB46" i="13"/>
  <c r="AB46" i="12"/>
  <c r="AB46" i="10"/>
  <c r="AB46" i="11"/>
  <c r="AB5" i="11"/>
  <c r="Q44" i="11"/>
  <c r="X6" i="12"/>
  <c r="Y6" i="12" s="1"/>
  <c r="X6" i="13"/>
  <c r="X39" i="12"/>
  <c r="Y39" i="12" s="1"/>
  <c r="AB39" i="12" s="1"/>
  <c r="X39" i="13"/>
  <c r="S53" i="9"/>
  <c r="X33" i="12"/>
  <c r="Y33" i="12" s="1"/>
  <c r="X33" i="13"/>
  <c r="X14" i="12"/>
  <c r="Y14" i="12" s="1"/>
  <c r="AB14" i="12" s="1"/>
  <c r="X14" i="13"/>
  <c r="X35" i="12"/>
  <c r="Y35" i="12" s="1"/>
  <c r="X35" i="13"/>
  <c r="X7" i="12"/>
  <c r="Y7" i="12" s="1"/>
  <c r="AB7" i="12" s="1"/>
  <c r="X7" i="13"/>
  <c r="X21" i="12"/>
  <c r="Y21" i="12" s="1"/>
  <c r="AB21" i="12" s="1"/>
  <c r="X21" i="13"/>
  <c r="AB20" i="12"/>
  <c r="X12" i="12"/>
  <c r="Y12" i="12" s="1"/>
  <c r="AB12" i="12" s="1"/>
  <c r="X12" i="13"/>
  <c r="AM57" i="6"/>
  <c r="AM55" i="9"/>
  <c r="AM55" i="8"/>
  <c r="AM55" i="7"/>
  <c r="Q5" i="13"/>
  <c r="L44" i="13"/>
  <c r="X37" i="12"/>
  <c r="Y37" i="12" s="1"/>
  <c r="AB37" i="12" s="1"/>
  <c r="X37" i="13"/>
  <c r="AB36" i="12"/>
  <c r="X19" i="12"/>
  <c r="Y19" i="12" s="1"/>
  <c r="AB19" i="12" s="1"/>
  <c r="X19" i="13"/>
  <c r="AB16" i="12"/>
  <c r="X18" i="12"/>
  <c r="Y18" i="12" s="1"/>
  <c r="AB18" i="12" s="1"/>
  <c r="X18" i="13"/>
  <c r="AB22" i="12"/>
  <c r="X25" i="12"/>
  <c r="Y25" i="12" s="1"/>
  <c r="AB25" i="12" s="1"/>
  <c r="X25" i="13"/>
  <c r="AB30" i="12"/>
  <c r="X9" i="12"/>
  <c r="Y9" i="12" s="1"/>
  <c r="AB9" i="12" s="1"/>
  <c r="X9" i="13"/>
  <c r="AB38" i="12"/>
  <c r="X31" i="12"/>
  <c r="Y31" i="12" s="1"/>
  <c r="AB31" i="12" s="1"/>
  <c r="X31" i="13"/>
  <c r="AB8" i="12"/>
  <c r="X23" i="12"/>
  <c r="Y23" i="12" s="1"/>
  <c r="AB23" i="12" s="1"/>
  <c r="X23" i="13"/>
  <c r="AB26" i="12"/>
  <c r="X13" i="12"/>
  <c r="Y13" i="12" s="1"/>
  <c r="AB13" i="12" s="1"/>
  <c r="X13" i="13"/>
  <c r="X10" i="12"/>
  <c r="Y10" i="12" s="1"/>
  <c r="AB10" i="12" s="1"/>
  <c r="X10" i="13"/>
  <c r="AB40" i="12"/>
  <c r="AB6" i="12"/>
  <c r="X42" i="12"/>
  <c r="Y42" i="12" s="1"/>
  <c r="AB42" i="12" s="1"/>
  <c r="X42" i="13"/>
  <c r="X24" i="12"/>
  <c r="Y24" i="12" s="1"/>
  <c r="AB24" i="12" s="1"/>
  <c r="X24" i="13"/>
  <c r="X34" i="12"/>
  <c r="Y34" i="12" s="1"/>
  <c r="AB34" i="12" s="1"/>
  <c r="X34" i="13"/>
  <c r="AB41" i="12"/>
  <c r="X11" i="12"/>
  <c r="Y11" i="12" s="1"/>
  <c r="AB11" i="12" s="1"/>
  <c r="X11" i="13"/>
  <c r="AB33" i="12"/>
  <c r="X32" i="12"/>
  <c r="Y32" i="12" s="1"/>
  <c r="AB32" i="12" s="1"/>
  <c r="X32" i="13"/>
  <c r="X29" i="12"/>
  <c r="Y29" i="12" s="1"/>
  <c r="AB29" i="12" s="1"/>
  <c r="X29" i="13"/>
  <c r="X28" i="12"/>
  <c r="Y28" i="12" s="1"/>
  <c r="AB28" i="12" s="1"/>
  <c r="X28" i="13"/>
  <c r="X27" i="12"/>
  <c r="Y27" i="12" s="1"/>
  <c r="AB27" i="12" s="1"/>
  <c r="X27" i="13"/>
  <c r="AB35" i="12"/>
  <c r="B14" i="26" l="1"/>
  <c r="B15" i="26"/>
  <c r="B7" i="26"/>
  <c r="B13" i="26" s="1"/>
  <c r="B11" i="26"/>
  <c r="I15" i="25"/>
  <c r="I14" i="25"/>
  <c r="Y30" i="13"/>
  <c r="AB30" i="13" s="1"/>
  <c r="S23" i="28" s="1"/>
  <c r="U30" i="24"/>
  <c r="U73" i="24" s="1"/>
  <c r="Y36" i="13"/>
  <c r="AB36" i="13" s="1"/>
  <c r="S27" i="28" s="1"/>
  <c r="U36" i="24"/>
  <c r="U79" i="24" s="1"/>
  <c r="Y28" i="13"/>
  <c r="AB28" i="13" s="1"/>
  <c r="U28" i="24"/>
  <c r="U71" i="24" s="1"/>
  <c r="Y23" i="13"/>
  <c r="AB23" i="13" s="1"/>
  <c r="S14" i="28" s="1"/>
  <c r="U23" i="24"/>
  <c r="U66" i="24" s="1"/>
  <c r="Y18" i="13"/>
  <c r="AB18" i="13" s="1"/>
  <c r="U18" i="24"/>
  <c r="U61" i="24" s="1"/>
  <c r="Y13" i="13"/>
  <c r="AB13" i="13" s="1"/>
  <c r="AA25" i="17" s="1"/>
  <c r="U13" i="24"/>
  <c r="U56" i="24" s="1"/>
  <c r="Y6" i="13"/>
  <c r="AB6" i="13" s="1"/>
  <c r="AA44" i="16" s="1"/>
  <c r="U6" i="24"/>
  <c r="U49" i="24" s="1"/>
  <c r="Y26" i="13"/>
  <c r="AB26" i="13" s="1"/>
  <c r="S18" i="28" s="1"/>
  <c r="U26" i="24"/>
  <c r="U69" i="24" s="1"/>
  <c r="Y38" i="13"/>
  <c r="AB38" i="13" s="1"/>
  <c r="S29" i="28" s="1"/>
  <c r="U38" i="24"/>
  <c r="U81" i="24" s="1"/>
  <c r="Y22" i="13"/>
  <c r="AB22" i="13" s="1"/>
  <c r="S13" i="28" s="1"/>
  <c r="U22" i="24"/>
  <c r="U65" i="24" s="1"/>
  <c r="Y41" i="13"/>
  <c r="AB41" i="13" s="1"/>
  <c r="S32" i="28" s="1"/>
  <c r="U41" i="24"/>
  <c r="U84" i="24" s="1"/>
  <c r="Y17" i="13"/>
  <c r="AB17" i="13" s="1"/>
  <c r="S10" i="28" s="1"/>
  <c r="U17" i="24"/>
  <c r="U60" i="24" s="1"/>
  <c r="Y40" i="13"/>
  <c r="AB40" i="13" s="1"/>
  <c r="S30" i="28" s="1"/>
  <c r="U40" i="24"/>
  <c r="U83" i="24" s="1"/>
  <c r="Y15" i="13"/>
  <c r="AB15" i="13" s="1"/>
  <c r="AA52" i="17" s="1"/>
  <c r="U15" i="24"/>
  <c r="U58" i="24" s="1"/>
  <c r="Y34" i="13"/>
  <c r="AB34" i="13" s="1"/>
  <c r="U34" i="24"/>
  <c r="U77" i="24" s="1"/>
  <c r="Y42" i="13"/>
  <c r="AB42" i="13" s="1"/>
  <c r="S33" i="28" s="1"/>
  <c r="U42" i="24"/>
  <c r="U85" i="24" s="1"/>
  <c r="Y10" i="13"/>
  <c r="AB10" i="13" s="1"/>
  <c r="S7" i="28" s="1"/>
  <c r="U10" i="24"/>
  <c r="U53" i="24" s="1"/>
  <c r="Y31" i="13"/>
  <c r="AB31" i="13" s="1"/>
  <c r="S24" i="28" s="1"/>
  <c r="U31" i="24"/>
  <c r="U74" i="24" s="1"/>
  <c r="Y19" i="13"/>
  <c r="AB19" i="13" s="1"/>
  <c r="U19" i="24"/>
  <c r="U62" i="24" s="1"/>
  <c r="Y12" i="13"/>
  <c r="AB12" i="13" s="1"/>
  <c r="S11" i="28" s="1"/>
  <c r="U12" i="24"/>
  <c r="U55" i="24" s="1"/>
  <c r="Y35" i="13"/>
  <c r="AB35" i="13" s="1"/>
  <c r="U35" i="24"/>
  <c r="U78" i="24" s="1"/>
  <c r="Y39" i="13"/>
  <c r="AB39" i="13" s="1"/>
  <c r="S31" i="28" s="1"/>
  <c r="U39" i="24"/>
  <c r="U82" i="24" s="1"/>
  <c r="Y8" i="13"/>
  <c r="AB8" i="13" s="1"/>
  <c r="S5" i="28" s="1"/>
  <c r="U8" i="24"/>
  <c r="U51" i="24" s="1"/>
  <c r="Y16" i="13"/>
  <c r="AB16" i="13" s="1"/>
  <c r="S8" i="28" s="1"/>
  <c r="U16" i="24"/>
  <c r="U59" i="24" s="1"/>
  <c r="Y20" i="13"/>
  <c r="AB20" i="13" s="1"/>
  <c r="U20" i="24"/>
  <c r="U63" i="24" s="1"/>
  <c r="Y11" i="13"/>
  <c r="AB11" i="13" s="1"/>
  <c r="S9" i="28" s="1"/>
  <c r="U11" i="24"/>
  <c r="U54" i="24" s="1"/>
  <c r="Y33" i="13"/>
  <c r="AB33" i="13" s="1"/>
  <c r="U33" i="24"/>
  <c r="U76" i="24" s="1"/>
  <c r="Y32" i="13"/>
  <c r="AB32" i="13" s="1"/>
  <c r="U32" i="24"/>
  <c r="U75" i="24" s="1"/>
  <c r="Y24" i="13"/>
  <c r="AB24" i="13" s="1"/>
  <c r="AA66" i="17" s="1"/>
  <c r="U24" i="24"/>
  <c r="U67" i="24" s="1"/>
  <c r="Y25" i="13"/>
  <c r="AB25" i="13" s="1"/>
  <c r="S17" i="28" s="1"/>
  <c r="U25" i="24"/>
  <c r="U68" i="24" s="1"/>
  <c r="Y7" i="13"/>
  <c r="AB7" i="13" s="1"/>
  <c r="U7" i="24"/>
  <c r="U50" i="24" s="1"/>
  <c r="Y14" i="13"/>
  <c r="AB14" i="13" s="1"/>
  <c r="AA37" i="17" s="1"/>
  <c r="U14" i="24"/>
  <c r="U57" i="24" s="1"/>
  <c r="Y27" i="13"/>
  <c r="AB27" i="13" s="1"/>
  <c r="S19" i="28" s="1"/>
  <c r="U27" i="24"/>
  <c r="U70" i="24" s="1"/>
  <c r="Y29" i="13"/>
  <c r="AB29" i="13" s="1"/>
  <c r="S22" i="28" s="1"/>
  <c r="U29" i="24"/>
  <c r="U72" i="24" s="1"/>
  <c r="Y9" i="13"/>
  <c r="AB9" i="13" s="1"/>
  <c r="S6" i="28" s="1"/>
  <c r="U9" i="24"/>
  <c r="U52" i="24" s="1"/>
  <c r="Y37" i="13"/>
  <c r="AB37" i="13" s="1"/>
  <c r="S28" i="28" s="1"/>
  <c r="U37" i="24"/>
  <c r="U80" i="24" s="1"/>
  <c r="Y21" i="13"/>
  <c r="AB21" i="13" s="1"/>
  <c r="S12" i="28" s="1"/>
  <c r="U21" i="24"/>
  <c r="U64" i="24" s="1"/>
  <c r="AA70" i="17"/>
  <c r="AA96" i="16"/>
  <c r="AA23" i="17"/>
  <c r="AA18" i="17"/>
  <c r="AA15" i="17"/>
  <c r="AA143" i="16"/>
  <c r="AG143" i="16" s="1"/>
  <c r="AA232" i="16"/>
  <c r="AA12" i="16"/>
  <c r="AA11" i="16"/>
  <c r="AA3" i="16"/>
  <c r="AA2" i="16"/>
  <c r="AA45" i="16"/>
  <c r="AA42" i="17"/>
  <c r="AA166" i="16"/>
  <c r="AG166" i="16" s="1"/>
  <c r="AA172" i="16"/>
  <c r="AG172" i="16" s="1"/>
  <c r="X5" i="12"/>
  <c r="X5" i="13"/>
  <c r="U5" i="24" s="1"/>
  <c r="U48" i="24" s="1"/>
  <c r="Q44" i="13"/>
  <c r="AB44" i="11"/>
  <c r="Q44" i="12"/>
  <c r="AA38" i="16" l="1"/>
  <c r="AA4" i="16"/>
  <c r="AA9" i="16"/>
  <c r="AA8" i="16"/>
  <c r="AG8" i="16" s="1"/>
  <c r="AA56" i="17"/>
  <c r="AA5" i="16"/>
  <c r="AA42" i="16"/>
  <c r="L42" i="21" s="1"/>
  <c r="O42" i="21" s="1"/>
  <c r="AA39" i="16"/>
  <c r="L39" i="21" s="1"/>
  <c r="O39" i="21" s="1"/>
  <c r="AA239" i="16"/>
  <c r="AA145" i="16"/>
  <c r="AG145" i="16" s="1"/>
  <c r="AA26" i="17"/>
  <c r="AA230" i="16"/>
  <c r="L230" i="21" s="1"/>
  <c r="AA67" i="16"/>
  <c r="AA181" i="16"/>
  <c r="AG181" i="16" s="1"/>
  <c r="AA61" i="17"/>
  <c r="AA10" i="16"/>
  <c r="AG10" i="16" s="1"/>
  <c r="AA41" i="16"/>
  <c r="AG41" i="16" s="1"/>
  <c r="AA43" i="16"/>
  <c r="AG43" i="16" s="1"/>
  <c r="AA237" i="16"/>
  <c r="AG237" i="16" s="1"/>
  <c r="AA73" i="16"/>
  <c r="AG73" i="16" s="1"/>
  <c r="AA191" i="16"/>
  <c r="AG191" i="16" s="1"/>
  <c r="AA235" i="16"/>
  <c r="AG235" i="16" s="1"/>
  <c r="AA241" i="16"/>
  <c r="L241" i="21" s="1"/>
  <c r="O241" i="21" s="1"/>
  <c r="AA86" i="16"/>
  <c r="AG86" i="16" s="1"/>
  <c r="S25" i="28"/>
  <c r="S15" i="28"/>
  <c r="S20" i="28"/>
  <c r="G11" i="28"/>
  <c r="G6" i="28"/>
  <c r="S21" i="28"/>
  <c r="S26" i="28"/>
  <c r="S16" i="28"/>
  <c r="AA182" i="16"/>
  <c r="AG182" i="16" s="1"/>
  <c r="AA133" i="16"/>
  <c r="AG133" i="16" s="1"/>
  <c r="AA236" i="16"/>
  <c r="L236" i="21" s="1"/>
  <c r="O236" i="21" s="1"/>
  <c r="AA240" i="16"/>
  <c r="AG240" i="16" s="1"/>
  <c r="AA238" i="16"/>
  <c r="AG238" i="16" s="1"/>
  <c r="AA74" i="16"/>
  <c r="AG74" i="16" s="1"/>
  <c r="AA30" i="17"/>
  <c r="AA188" i="16"/>
  <c r="AG188" i="16" s="1"/>
  <c r="AA193" i="16"/>
  <c r="AG193" i="16" s="1"/>
  <c r="AA58" i="17"/>
  <c r="AA69" i="17"/>
  <c r="AA9" i="17"/>
  <c r="AA45" i="17"/>
  <c r="AA88" i="16"/>
  <c r="L88" i="21" s="1"/>
  <c r="O88" i="21" s="1"/>
  <c r="AA124" i="16"/>
  <c r="AA68" i="16"/>
  <c r="AG68" i="16" s="1"/>
  <c r="AA74" i="17"/>
  <c r="AA184" i="16"/>
  <c r="AG184" i="16" s="1"/>
  <c r="AA53" i="17"/>
  <c r="AA64" i="17"/>
  <c r="AA194" i="16"/>
  <c r="AG194" i="16" s="1"/>
  <c r="AA79" i="16"/>
  <c r="L79" i="21" s="1"/>
  <c r="O79" i="21" s="1"/>
  <c r="AA106" i="16"/>
  <c r="L106" i="21" s="1"/>
  <c r="O106" i="21" s="1"/>
  <c r="AA157" i="16"/>
  <c r="AG157" i="16" s="1"/>
  <c r="AA224" i="16"/>
  <c r="AG224" i="16" s="1"/>
  <c r="AA187" i="16"/>
  <c r="AG187" i="16" s="1"/>
  <c r="AA177" i="16"/>
  <c r="AG177" i="16" s="1"/>
  <c r="AA178" i="16"/>
  <c r="AG178" i="16" s="1"/>
  <c r="AA54" i="17"/>
  <c r="AA60" i="17"/>
  <c r="AA65" i="17"/>
  <c r="AA207" i="16"/>
  <c r="AG207" i="16" s="1"/>
  <c r="AA135" i="16"/>
  <c r="AG135" i="16" s="1"/>
  <c r="AA14" i="17"/>
  <c r="AA91" i="16"/>
  <c r="AA75" i="16"/>
  <c r="AG75" i="16" s="1"/>
  <c r="AA81" i="16"/>
  <c r="AA113" i="16"/>
  <c r="L113" i="21" s="1"/>
  <c r="O113" i="21" s="1"/>
  <c r="AA66" i="16"/>
  <c r="AG66" i="16" s="1"/>
  <c r="AA156" i="16"/>
  <c r="AG156" i="16" s="1"/>
  <c r="AA38" i="17"/>
  <c r="AA76" i="17"/>
  <c r="AA180" i="16"/>
  <c r="AG180" i="16" s="1"/>
  <c r="AA179" i="16"/>
  <c r="AG179" i="16" s="1"/>
  <c r="AA185" i="16"/>
  <c r="AG185" i="16" s="1"/>
  <c r="AA190" i="16"/>
  <c r="AG190" i="16" s="1"/>
  <c r="AA57" i="17"/>
  <c r="AA62" i="17"/>
  <c r="AA68" i="17"/>
  <c r="AA213" i="16"/>
  <c r="AG213" i="16" s="1"/>
  <c r="AA134" i="16"/>
  <c r="AG134" i="16" s="1"/>
  <c r="AA89" i="16"/>
  <c r="AG89" i="16" s="1"/>
  <c r="AA80" i="16"/>
  <c r="AG80" i="16" s="1"/>
  <c r="AA107" i="16"/>
  <c r="L107" i="21" s="1"/>
  <c r="O107" i="21" s="1"/>
  <c r="AA110" i="16"/>
  <c r="L110" i="21" s="1"/>
  <c r="O110" i="21" s="1"/>
  <c r="AA69" i="16"/>
  <c r="AG69" i="16" s="1"/>
  <c r="AA27" i="17"/>
  <c r="AA75" i="17"/>
  <c r="AA183" i="16"/>
  <c r="AG183" i="16" s="1"/>
  <c r="AA192" i="16"/>
  <c r="AG192" i="16" s="1"/>
  <c r="AA189" i="16"/>
  <c r="AG189" i="16" s="1"/>
  <c r="AA186" i="16"/>
  <c r="AG186" i="16" s="1"/>
  <c r="AA55" i="17"/>
  <c r="AA59" i="17"/>
  <c r="AA63" i="17"/>
  <c r="AA67" i="17"/>
  <c r="AA200" i="16"/>
  <c r="AG200" i="16" s="1"/>
  <c r="AA214" i="16"/>
  <c r="AG214" i="16" s="1"/>
  <c r="AA6" i="17"/>
  <c r="AA165" i="16"/>
  <c r="AG165" i="16" s="1"/>
  <c r="AA50" i="17"/>
  <c r="AA6" i="16"/>
  <c r="AG6" i="16" s="1"/>
  <c r="AA46" i="16"/>
  <c r="AG46" i="16" s="1"/>
  <c r="AA7" i="16"/>
  <c r="AG7" i="16" s="1"/>
  <c r="AA13" i="16"/>
  <c r="AG13" i="16" s="1"/>
  <c r="AA40" i="16"/>
  <c r="AG40" i="16" s="1"/>
  <c r="AA231" i="16"/>
  <c r="AA233" i="16"/>
  <c r="AG233" i="16" s="1"/>
  <c r="AA234" i="16"/>
  <c r="AG234" i="16" s="1"/>
  <c r="AA87" i="16"/>
  <c r="AG87" i="16" s="1"/>
  <c r="AA93" i="16"/>
  <c r="AA84" i="16"/>
  <c r="L84" i="21" s="1"/>
  <c r="O84" i="21" s="1"/>
  <c r="AA116" i="16"/>
  <c r="AA109" i="16"/>
  <c r="L109" i="21" s="1"/>
  <c r="O109" i="21" s="1"/>
  <c r="AA70" i="16"/>
  <c r="AG70" i="16" s="1"/>
  <c r="AA72" i="16"/>
  <c r="AG72" i="16" s="1"/>
  <c r="AA152" i="16"/>
  <c r="AG152" i="16" s="1"/>
  <c r="AA35" i="17"/>
  <c r="AA77" i="17"/>
  <c r="AA195" i="16"/>
  <c r="AG195" i="16" s="1"/>
  <c r="AA215" i="16"/>
  <c r="L215" i="21" s="1"/>
  <c r="O215" i="21" s="1"/>
  <c r="AA197" i="16"/>
  <c r="AG197" i="16" s="1"/>
  <c r="AA198" i="16"/>
  <c r="L198" i="21" s="1"/>
  <c r="O198" i="21" s="1"/>
  <c r="AA131" i="16"/>
  <c r="AG131" i="16" s="1"/>
  <c r="AA138" i="16"/>
  <c r="AG138" i="16" s="1"/>
  <c r="AA10" i="17"/>
  <c r="AA167" i="16"/>
  <c r="AG167" i="16" s="1"/>
  <c r="AA170" i="16"/>
  <c r="AG170" i="16" s="1"/>
  <c r="AA46" i="17"/>
  <c r="AA139" i="16"/>
  <c r="AG139" i="16" s="1"/>
  <c r="AA149" i="16"/>
  <c r="AG149" i="16" s="1"/>
  <c r="AA19" i="17"/>
  <c r="AA92" i="16"/>
  <c r="AG92" i="16" s="1"/>
  <c r="AA85" i="16"/>
  <c r="L85" i="21" s="1"/>
  <c r="O85" i="21" s="1"/>
  <c r="AA90" i="16"/>
  <c r="AG90" i="16" s="1"/>
  <c r="AA76" i="16"/>
  <c r="AG76" i="16" s="1"/>
  <c r="AA82" i="16"/>
  <c r="AG82" i="16" s="1"/>
  <c r="AA95" i="16"/>
  <c r="AG95" i="16" s="1"/>
  <c r="AA120" i="16"/>
  <c r="AG120" i="16" s="1"/>
  <c r="AA125" i="16"/>
  <c r="AG125" i="16" s="1"/>
  <c r="AA122" i="16"/>
  <c r="AG122" i="16" s="1"/>
  <c r="AA71" i="16"/>
  <c r="AG71" i="16" s="1"/>
  <c r="AA65" i="16"/>
  <c r="L65" i="21" s="1"/>
  <c r="AA163" i="16"/>
  <c r="AG163" i="16" s="1"/>
  <c r="AA161" i="16"/>
  <c r="AG161" i="16" s="1"/>
  <c r="AA31" i="17"/>
  <c r="AA39" i="17"/>
  <c r="AA79" i="17"/>
  <c r="AA78" i="17"/>
  <c r="AA228" i="16"/>
  <c r="AG228" i="16" s="1"/>
  <c r="AA204" i="16"/>
  <c r="AG204" i="16" s="1"/>
  <c r="AA212" i="16"/>
  <c r="AG212" i="16" s="1"/>
  <c r="AA209" i="16"/>
  <c r="AG209" i="16" s="1"/>
  <c r="AA210" i="16"/>
  <c r="L210" i="21" s="1"/>
  <c r="O210" i="21" s="1"/>
  <c r="AA129" i="16"/>
  <c r="AG129" i="16" s="1"/>
  <c r="AA5" i="17"/>
  <c r="AA13" i="17"/>
  <c r="AA176" i="16"/>
  <c r="AG176" i="16" s="1"/>
  <c r="AA41" i="17"/>
  <c r="AA49" i="17"/>
  <c r="AA147" i="16"/>
  <c r="AG147" i="16" s="1"/>
  <c r="AA150" i="16"/>
  <c r="AG150" i="16" s="1"/>
  <c r="AA22" i="17"/>
  <c r="AA115" i="16"/>
  <c r="L115" i="21" s="1"/>
  <c r="O115" i="21" s="1"/>
  <c r="AA103" i="16"/>
  <c r="AG103" i="16" s="1"/>
  <c r="AA97" i="16"/>
  <c r="AG97" i="16" s="1"/>
  <c r="AA94" i="16"/>
  <c r="L185" i="21" s="1"/>
  <c r="O185" i="21" s="1"/>
  <c r="AA126" i="16"/>
  <c r="AG126" i="16" s="1"/>
  <c r="AA155" i="16"/>
  <c r="AG155" i="16" s="1"/>
  <c r="AA162" i="16"/>
  <c r="AG162" i="16" s="1"/>
  <c r="AA34" i="17"/>
  <c r="AA223" i="16"/>
  <c r="AG223" i="16" s="1"/>
  <c r="AA229" i="16"/>
  <c r="AG229" i="16" s="1"/>
  <c r="AA72" i="17"/>
  <c r="AA211" i="16"/>
  <c r="AG211" i="16" s="1"/>
  <c r="AA208" i="16"/>
  <c r="L208" i="21" s="1"/>
  <c r="O208" i="21" s="1"/>
  <c r="AA201" i="16"/>
  <c r="AG201" i="16" s="1"/>
  <c r="AA217" i="16"/>
  <c r="AG217" i="16" s="1"/>
  <c r="AA202" i="16"/>
  <c r="AA132" i="16"/>
  <c r="AG132" i="16" s="1"/>
  <c r="AA128" i="16"/>
  <c r="AG128" i="16" s="1"/>
  <c r="AA137" i="16"/>
  <c r="AG137" i="16" s="1"/>
  <c r="AA3" i="17"/>
  <c r="AA7" i="17"/>
  <c r="AA11" i="17"/>
  <c r="AA171" i="16"/>
  <c r="AG171" i="16" s="1"/>
  <c r="AA175" i="16"/>
  <c r="AG175" i="16" s="1"/>
  <c r="AA169" i="16"/>
  <c r="AG169" i="16" s="1"/>
  <c r="AA174" i="16"/>
  <c r="AG174" i="16" s="1"/>
  <c r="AA43" i="17"/>
  <c r="AA47" i="17"/>
  <c r="AA51" i="17"/>
  <c r="AA140" i="16"/>
  <c r="AG140" i="16" s="1"/>
  <c r="AA144" i="16"/>
  <c r="AG144" i="16" s="1"/>
  <c r="AA142" i="16"/>
  <c r="AG142" i="16" s="1"/>
  <c r="AA16" i="17"/>
  <c r="AA20" i="17"/>
  <c r="AA24" i="17"/>
  <c r="AA83" i="16"/>
  <c r="AG83" i="16" s="1"/>
  <c r="AA78" i="16"/>
  <c r="AG78" i="16" s="1"/>
  <c r="AA77" i="16"/>
  <c r="AG77" i="16" s="1"/>
  <c r="AA100" i="16"/>
  <c r="AG100" i="16" s="1"/>
  <c r="AA99" i="16"/>
  <c r="AG99" i="16" s="1"/>
  <c r="AA111" i="16"/>
  <c r="L111" i="21" s="1"/>
  <c r="O111" i="21" s="1"/>
  <c r="AA104" i="16"/>
  <c r="L104" i="21" s="1"/>
  <c r="O104" i="21" s="1"/>
  <c r="AA101" i="16"/>
  <c r="L101" i="21" s="1"/>
  <c r="O101" i="21" s="1"/>
  <c r="AA117" i="16"/>
  <c r="L117" i="21" s="1"/>
  <c r="O117" i="21" s="1"/>
  <c r="AA98" i="16"/>
  <c r="AG98" i="16" s="1"/>
  <c r="AA114" i="16"/>
  <c r="AG114" i="16" s="1"/>
  <c r="AA2" i="17"/>
  <c r="AA151" i="16"/>
  <c r="AG151" i="16" s="1"/>
  <c r="AA160" i="16"/>
  <c r="AG160" i="16" s="1"/>
  <c r="AA154" i="16"/>
  <c r="AG154" i="16" s="1"/>
  <c r="AA28" i="17"/>
  <c r="AA32" i="17"/>
  <c r="AA36" i="17"/>
  <c r="AA73" i="17"/>
  <c r="AA222" i="16"/>
  <c r="AG222" i="16" s="1"/>
  <c r="AA221" i="16"/>
  <c r="AG221" i="16" s="1"/>
  <c r="AA219" i="16"/>
  <c r="AG219" i="16" s="1"/>
  <c r="AA218" i="16"/>
  <c r="AG218" i="16" s="1"/>
  <c r="AA80" i="17"/>
  <c r="K9" i="26"/>
  <c r="K7" i="26"/>
  <c r="K11" i="26"/>
  <c r="M11" i="26" s="1"/>
  <c r="AA196" i="16"/>
  <c r="L196" i="21" s="1"/>
  <c r="O196" i="21" s="1"/>
  <c r="AA199" i="16"/>
  <c r="L199" i="21" s="1"/>
  <c r="O199" i="21" s="1"/>
  <c r="AA203" i="16"/>
  <c r="AG203" i="16" s="1"/>
  <c r="AA216" i="16"/>
  <c r="L216" i="21" s="1"/>
  <c r="O216" i="21" s="1"/>
  <c r="AA205" i="16"/>
  <c r="AG205" i="16" s="1"/>
  <c r="AA206" i="16"/>
  <c r="AG206" i="16" s="1"/>
  <c r="AA127" i="16"/>
  <c r="AG127" i="16" s="1"/>
  <c r="AA136" i="16"/>
  <c r="AG136" i="16" s="1"/>
  <c r="AA130" i="16"/>
  <c r="AG130" i="16" s="1"/>
  <c r="AA4" i="17"/>
  <c r="AA8" i="17"/>
  <c r="AA12" i="17"/>
  <c r="AA164" i="16"/>
  <c r="L173" i="21" s="1"/>
  <c r="AA168" i="16"/>
  <c r="AG168" i="16" s="1"/>
  <c r="AA173" i="16"/>
  <c r="AG173" i="16" s="1"/>
  <c r="AA40" i="17"/>
  <c r="AA44" i="17"/>
  <c r="AA48" i="17"/>
  <c r="AA148" i="16"/>
  <c r="AG148" i="16" s="1"/>
  <c r="AA141" i="16"/>
  <c r="AG141" i="16" s="1"/>
  <c r="AA146" i="16"/>
  <c r="AG146" i="16" s="1"/>
  <c r="AA17" i="17"/>
  <c r="AA21" i="17"/>
  <c r="AA108" i="16"/>
  <c r="L108" i="21" s="1"/>
  <c r="O108" i="21" s="1"/>
  <c r="AA123" i="16"/>
  <c r="AG123" i="16" s="1"/>
  <c r="AA119" i="16"/>
  <c r="AG119" i="16" s="1"/>
  <c r="AA112" i="16"/>
  <c r="AG112" i="16" s="1"/>
  <c r="AA105" i="16"/>
  <c r="L105" i="21" s="1"/>
  <c r="O105" i="21" s="1"/>
  <c r="AA121" i="16"/>
  <c r="L121" i="21" s="1"/>
  <c r="O121" i="21" s="1"/>
  <c r="AA102" i="16"/>
  <c r="AG102" i="16" s="1"/>
  <c r="AA118" i="16"/>
  <c r="AG118" i="16" s="1"/>
  <c r="AA159" i="16"/>
  <c r="AG159" i="16" s="1"/>
  <c r="AA153" i="16"/>
  <c r="AG153" i="16" s="1"/>
  <c r="AA158" i="16"/>
  <c r="AG158" i="16" s="1"/>
  <c r="AA29" i="17"/>
  <c r="AA33" i="17"/>
  <c r="AA81" i="17"/>
  <c r="AA71" i="17"/>
  <c r="AA225" i="16"/>
  <c r="AG225" i="16" s="1"/>
  <c r="AA227" i="16"/>
  <c r="AG227" i="16" s="1"/>
  <c r="AA226" i="16"/>
  <c r="AG226" i="16" s="1"/>
  <c r="AA220" i="16"/>
  <c r="AG220" i="16" s="1"/>
  <c r="AG2" i="16"/>
  <c r="L2" i="21"/>
  <c r="AG117" i="16"/>
  <c r="AG199" i="16"/>
  <c r="L194" i="21"/>
  <c r="L7" i="21"/>
  <c r="O7" i="21" s="1"/>
  <c r="AG231" i="16"/>
  <c r="L231" i="21"/>
  <c r="O231" i="21" s="1"/>
  <c r="AG91" i="16"/>
  <c r="L91" i="21"/>
  <c r="O91" i="21" s="1"/>
  <c r="AG93" i="16"/>
  <c r="L93" i="21"/>
  <c r="O93" i="21" s="1"/>
  <c r="AG81" i="16"/>
  <c r="L81" i="21"/>
  <c r="O81" i="21" s="1"/>
  <c r="L118" i="21"/>
  <c r="O118" i="21" s="1"/>
  <c r="L73" i="21"/>
  <c r="O73" i="21" s="1"/>
  <c r="L206" i="21"/>
  <c r="O206" i="21" s="1"/>
  <c r="AG42" i="16"/>
  <c r="AG12" i="16"/>
  <c r="L12" i="21"/>
  <c r="O12" i="21" s="1"/>
  <c r="AG230" i="16"/>
  <c r="L195" i="21"/>
  <c r="O195" i="21" s="1"/>
  <c r="AG5" i="16"/>
  <c r="L5" i="21"/>
  <c r="O5" i="21" s="1"/>
  <c r="AG9" i="16"/>
  <c r="L9" i="21"/>
  <c r="O9" i="21" s="1"/>
  <c r="AG11" i="16"/>
  <c r="L11" i="21"/>
  <c r="O11" i="21" s="1"/>
  <c r="AG4" i="16"/>
  <c r="L4" i="21"/>
  <c r="O4" i="21" s="1"/>
  <c r="AG44" i="16"/>
  <c r="L44" i="21"/>
  <c r="O44" i="21" s="1"/>
  <c r="AG239" i="16"/>
  <c r="L239" i="21"/>
  <c r="O239" i="21" s="1"/>
  <c r="L238" i="21"/>
  <c r="O238" i="21" s="1"/>
  <c r="AG88" i="16"/>
  <c r="AG79" i="16"/>
  <c r="L80" i="21"/>
  <c r="O80" i="21" s="1"/>
  <c r="AG116" i="16"/>
  <c r="L116" i="21"/>
  <c r="O116" i="21" s="1"/>
  <c r="L125" i="21"/>
  <c r="O125" i="21" s="1"/>
  <c r="AG106" i="16"/>
  <c r="L122" i="21"/>
  <c r="O122" i="21" s="1"/>
  <c r="AG67" i="16"/>
  <c r="L67" i="21"/>
  <c r="O67" i="21" s="1"/>
  <c r="L72" i="21"/>
  <c r="O72" i="21" s="1"/>
  <c r="AG3" i="16"/>
  <c r="L3" i="21"/>
  <c r="O3" i="21" s="1"/>
  <c r="L83" i="21"/>
  <c r="O83" i="21" s="1"/>
  <c r="L66" i="21"/>
  <c r="O66" i="21" s="1"/>
  <c r="AG215" i="16"/>
  <c r="AG202" i="16"/>
  <c r="L202" i="21"/>
  <c r="O202" i="21" s="1"/>
  <c r="AG45" i="16"/>
  <c r="L45" i="21"/>
  <c r="O45" i="21" s="1"/>
  <c r="AG38" i="16"/>
  <c r="L38" i="21"/>
  <c r="O38" i="21" s="1"/>
  <c r="AG39" i="16"/>
  <c r="AG236" i="16"/>
  <c r="AG232" i="16"/>
  <c r="L232" i="21"/>
  <c r="O232" i="21" s="1"/>
  <c r="AG241" i="16"/>
  <c r="L92" i="21"/>
  <c r="O92" i="21" s="1"/>
  <c r="AG85" i="16"/>
  <c r="AG115" i="16"/>
  <c r="AG124" i="16"/>
  <c r="L124" i="21"/>
  <c r="O124" i="21" s="1"/>
  <c r="AG96" i="16"/>
  <c r="L96" i="21"/>
  <c r="O96" i="21" s="1"/>
  <c r="L193" i="21"/>
  <c r="O193" i="21" s="1"/>
  <c r="L186" i="21"/>
  <c r="O186" i="21" s="1"/>
  <c r="L191" i="21"/>
  <c r="O191" i="21" s="1"/>
  <c r="L184" i="21"/>
  <c r="L178" i="21"/>
  <c r="L189" i="21"/>
  <c r="O189" i="21" s="1"/>
  <c r="L179" i="21"/>
  <c r="L190" i="21"/>
  <c r="L187" i="21"/>
  <c r="L183" i="21"/>
  <c r="O183" i="21" s="1"/>
  <c r="AG110" i="16"/>
  <c r="L126" i="21"/>
  <c r="O126" i="21" s="1"/>
  <c r="X44" i="13"/>
  <c r="Y5" i="13"/>
  <c r="Y5" i="12"/>
  <c r="X44" i="12"/>
  <c r="L71" i="21" l="1"/>
  <c r="O71" i="21" s="1"/>
  <c r="L8" i="21"/>
  <c r="O8" i="21" s="1"/>
  <c r="L127" i="21"/>
  <c r="L103" i="21"/>
  <c r="O103" i="21" s="1"/>
  <c r="AG109" i="16"/>
  <c r="L82" i="21"/>
  <c r="O82" i="21" s="1"/>
  <c r="L86" i="21"/>
  <c r="O86" i="21" s="1"/>
  <c r="L237" i="21"/>
  <c r="O237" i="21" s="1"/>
  <c r="L10" i="21"/>
  <c r="O10" i="21" s="1"/>
  <c r="L200" i="21"/>
  <c r="O200" i="21" s="1"/>
  <c r="L234" i="21"/>
  <c r="O234" i="21" s="1"/>
  <c r="L13" i="21"/>
  <c r="O13" i="21" s="1"/>
  <c r="L89" i="21"/>
  <c r="O89" i="21" s="1"/>
  <c r="L197" i="21"/>
  <c r="O197" i="21" s="1"/>
  <c r="O190" i="21"/>
  <c r="O184" i="21"/>
  <c r="AG113" i="16"/>
  <c r="AG84" i="16"/>
  <c r="AG107" i="16"/>
  <c r="L112" i="21"/>
  <c r="O112" i="21" s="1"/>
  <c r="AG208" i="16"/>
  <c r="L43" i="21"/>
  <c r="O43" i="21" s="1"/>
  <c r="L78" i="21"/>
  <c r="O78" i="21" s="1"/>
  <c r="O127" i="21"/>
  <c r="L204" i="21"/>
  <c r="O204" i="21" s="1"/>
  <c r="L74" i="21"/>
  <c r="O74" i="21" s="1"/>
  <c r="L203" i="21"/>
  <c r="O203" i="21" s="1"/>
  <c r="AG65" i="16"/>
  <c r="L94" i="21"/>
  <c r="O94" i="21" s="1"/>
  <c r="L177" i="21"/>
  <c r="T10" i="21" s="1"/>
  <c r="L180" i="21"/>
  <c r="O180" i="21" s="1"/>
  <c r="L192" i="21"/>
  <c r="O192" i="21" s="1"/>
  <c r="AG94" i="16"/>
  <c r="L41" i="21"/>
  <c r="O41" i="21" s="1"/>
  <c r="L212" i="21"/>
  <c r="O212" i="21" s="1"/>
  <c r="L211" i="21"/>
  <c r="O211" i="21" s="1"/>
  <c r="L98" i="21"/>
  <c r="O98" i="21" s="1"/>
  <c r="L235" i="21"/>
  <c r="O235" i="21" s="1"/>
  <c r="L213" i="21"/>
  <c r="O213" i="21" s="1"/>
  <c r="L99" i="21"/>
  <c r="O99" i="21" s="1"/>
  <c r="L70" i="21"/>
  <c r="O70" i="21" s="1"/>
  <c r="L102" i="21"/>
  <c r="O102" i="21" s="1"/>
  <c r="L119" i="21"/>
  <c r="O119" i="21" s="1"/>
  <c r="L76" i="21"/>
  <c r="O76" i="21" s="1"/>
  <c r="L233" i="21"/>
  <c r="O233" i="21" s="1"/>
  <c r="L46" i="21"/>
  <c r="O46" i="21" s="1"/>
  <c r="AG111" i="16"/>
  <c r="O173" i="21"/>
  <c r="AC10" i="21"/>
  <c r="O187" i="21"/>
  <c r="L181" i="21"/>
  <c r="O181" i="21" s="1"/>
  <c r="L188" i="21"/>
  <c r="O188" i="21" s="1"/>
  <c r="L182" i="21"/>
  <c r="O182" i="21" s="1"/>
  <c r="AG198" i="16"/>
  <c r="L87" i="21"/>
  <c r="O87" i="21" s="1"/>
  <c r="L207" i="21"/>
  <c r="O207" i="21" s="1"/>
  <c r="L68" i="21"/>
  <c r="O68" i="21" s="1"/>
  <c r="L75" i="21"/>
  <c r="O75" i="21" s="1"/>
  <c r="L40" i="21"/>
  <c r="O40" i="21" s="1"/>
  <c r="L6" i="21"/>
  <c r="O6" i="21" s="1"/>
  <c r="L159" i="21"/>
  <c r="O159" i="21" s="1"/>
  <c r="L219" i="21"/>
  <c r="O219" i="21" s="1"/>
  <c r="AP4" i="16"/>
  <c r="AQ4" i="16" s="1"/>
  <c r="O179" i="21"/>
  <c r="O178" i="21"/>
  <c r="L97" i="21"/>
  <c r="O97" i="21" s="1"/>
  <c r="L214" i="21"/>
  <c r="O214" i="21" s="1"/>
  <c r="AG210" i="16"/>
  <c r="L69" i="21"/>
  <c r="O69" i="21" s="1"/>
  <c r="L240" i="21"/>
  <c r="O240" i="21" s="1"/>
  <c r="L95" i="21"/>
  <c r="O95" i="21" s="1"/>
  <c r="L166" i="21"/>
  <c r="O166" i="21" s="1"/>
  <c r="AG216" i="16"/>
  <c r="L120" i="21"/>
  <c r="O120" i="21" s="1"/>
  <c r="L135" i="21"/>
  <c r="O135" i="21" s="1"/>
  <c r="L167" i="21"/>
  <c r="O167" i="21" s="1"/>
  <c r="L222" i="21"/>
  <c r="O222" i="21" s="1"/>
  <c r="L209" i="21"/>
  <c r="O209" i="21" s="1"/>
  <c r="AG104" i="16"/>
  <c r="AG105" i="16"/>
  <c r="L170" i="21"/>
  <c r="O170" i="21" s="1"/>
  <c r="L160" i="21"/>
  <c r="O160" i="21" s="1"/>
  <c r="L143" i="21"/>
  <c r="O143" i="21" s="1"/>
  <c r="L175" i="21"/>
  <c r="O175" i="21" s="1"/>
  <c r="L201" i="21"/>
  <c r="O201" i="21" s="1"/>
  <c r="L114" i="21"/>
  <c r="O114" i="21" s="1"/>
  <c r="L140" i="21"/>
  <c r="O140" i="21" s="1"/>
  <c r="L90" i="21"/>
  <c r="O90" i="21" s="1"/>
  <c r="AG108" i="16"/>
  <c r="L136" i="21"/>
  <c r="O136" i="21" s="1"/>
  <c r="L176" i="21"/>
  <c r="O176" i="21" s="1"/>
  <c r="L151" i="21"/>
  <c r="O151" i="21" s="1"/>
  <c r="L224" i="21"/>
  <c r="O224" i="21" s="1"/>
  <c r="L100" i="21"/>
  <c r="O100" i="21" s="1"/>
  <c r="L205" i="21"/>
  <c r="O205" i="21" s="1"/>
  <c r="L123" i="21"/>
  <c r="O123" i="21" s="1"/>
  <c r="L134" i="21"/>
  <c r="O134" i="21" s="1"/>
  <c r="L164" i="21"/>
  <c r="O164" i="21" s="1"/>
  <c r="L129" i="21"/>
  <c r="O129" i="21" s="1"/>
  <c r="L145" i="21"/>
  <c r="O145" i="21" s="1"/>
  <c r="L161" i="21"/>
  <c r="O161" i="21" s="1"/>
  <c r="AG164" i="16"/>
  <c r="L223" i="21"/>
  <c r="O223" i="21" s="1"/>
  <c r="AG101" i="16"/>
  <c r="AG196" i="16"/>
  <c r="AG121" i="16"/>
  <c r="L158" i="21"/>
  <c r="O158" i="21" s="1"/>
  <c r="L128" i="21"/>
  <c r="O128" i="21" s="1"/>
  <c r="L142" i="21"/>
  <c r="O142" i="21" s="1"/>
  <c r="L152" i="21"/>
  <c r="O152" i="21" s="1"/>
  <c r="L168" i="21"/>
  <c r="O168" i="21" s="1"/>
  <c r="L138" i="21"/>
  <c r="O138" i="21" s="1"/>
  <c r="L131" i="21"/>
  <c r="O131" i="21" s="1"/>
  <c r="L139" i="21"/>
  <c r="O139" i="21" s="1"/>
  <c r="L147" i="21"/>
  <c r="O147" i="21" s="1"/>
  <c r="L155" i="21"/>
  <c r="O155" i="21" s="1"/>
  <c r="L163" i="21"/>
  <c r="O163" i="21" s="1"/>
  <c r="L171" i="21"/>
  <c r="O171" i="21" s="1"/>
  <c r="L229" i="21"/>
  <c r="O229" i="21" s="1"/>
  <c r="L221" i="21"/>
  <c r="O221" i="21" s="1"/>
  <c r="L227" i="21"/>
  <c r="O227" i="21" s="1"/>
  <c r="L228" i="21"/>
  <c r="O228" i="21" s="1"/>
  <c r="L77" i="21"/>
  <c r="O77" i="21" s="1"/>
  <c r="M7" i="26"/>
  <c r="M13" i="26" s="1"/>
  <c r="K13" i="26"/>
  <c r="L144" i="21"/>
  <c r="O144" i="21" s="1"/>
  <c r="L162" i="21"/>
  <c r="O162" i="21" s="1"/>
  <c r="L148" i="21"/>
  <c r="O148" i="21" s="1"/>
  <c r="L130" i="21"/>
  <c r="O130" i="21" s="1"/>
  <c r="L137" i="21"/>
  <c r="O137" i="21" s="1"/>
  <c r="L153" i="21"/>
  <c r="O153" i="21" s="1"/>
  <c r="L169" i="21"/>
  <c r="O169" i="21" s="1"/>
  <c r="L217" i="21"/>
  <c r="O217" i="21" s="1"/>
  <c r="L226" i="21"/>
  <c r="O226" i="21" s="1"/>
  <c r="L154" i="21"/>
  <c r="O154" i="21" s="1"/>
  <c r="L174" i="21"/>
  <c r="O174" i="21" s="1"/>
  <c r="L150" i="21"/>
  <c r="O150" i="21" s="1"/>
  <c r="L132" i="21"/>
  <c r="O132" i="21" s="1"/>
  <c r="L156" i="21"/>
  <c r="O156" i="21" s="1"/>
  <c r="L172" i="21"/>
  <c r="O172" i="21" s="1"/>
  <c r="L146" i="21"/>
  <c r="O146" i="21" s="1"/>
  <c r="L133" i="21"/>
  <c r="O133" i="21" s="1"/>
  <c r="L141" i="21"/>
  <c r="O141" i="21" s="1"/>
  <c r="L149" i="21"/>
  <c r="O149" i="21" s="1"/>
  <c r="L157" i="21"/>
  <c r="O157" i="21" s="1"/>
  <c r="L165" i="21"/>
  <c r="O165" i="21" s="1"/>
  <c r="L220" i="21"/>
  <c r="O220" i="21" s="1"/>
  <c r="L225" i="21"/>
  <c r="O225" i="21" s="1"/>
  <c r="L218" i="21"/>
  <c r="O218" i="21" s="1"/>
  <c r="M9" i="26"/>
  <c r="K15" i="26"/>
  <c r="K14" i="26"/>
  <c r="O177" i="21"/>
  <c r="O230" i="21"/>
  <c r="O2" i="21"/>
  <c r="O65" i="21"/>
  <c r="AP6" i="16"/>
  <c r="AQ6" i="16" s="1"/>
  <c r="AC12" i="21"/>
  <c r="O194" i="21"/>
  <c r="Y44" i="12"/>
  <c r="AB5" i="12"/>
  <c r="AB44" i="12" s="1"/>
  <c r="Y44" i="13"/>
  <c r="AB5" i="13"/>
  <c r="W12" i="21" l="1"/>
  <c r="AP5" i="16"/>
  <c r="AQ5" i="16" s="1"/>
  <c r="W10" i="21"/>
  <c r="Z10" i="21" s="1"/>
  <c r="AH10" i="21" s="1"/>
  <c r="AC11" i="21"/>
  <c r="T12" i="21"/>
  <c r="G10" i="28"/>
  <c r="G5" i="28"/>
  <c r="AP3" i="16"/>
  <c r="AQ3" i="16" s="1"/>
  <c r="W9" i="21"/>
  <c r="W11" i="21"/>
  <c r="T11" i="21"/>
  <c r="T9" i="21"/>
  <c r="Z9" i="21" s="1"/>
  <c r="AC9" i="21"/>
  <c r="M15" i="26"/>
  <c r="M14" i="26"/>
  <c r="Z12" i="21"/>
  <c r="AH12" i="21" s="1"/>
  <c r="AB44" i="13"/>
  <c r="AA61" i="16"/>
  <c r="AA57" i="16"/>
  <c r="AA36" i="16"/>
  <c r="AA32" i="16"/>
  <c r="AA28" i="16"/>
  <c r="AA62" i="16"/>
  <c r="AA37" i="16"/>
  <c r="AA64" i="16"/>
  <c r="AA60" i="16"/>
  <c r="AA56" i="16"/>
  <c r="AA35" i="16"/>
  <c r="AA31" i="16"/>
  <c r="AA27" i="16"/>
  <c r="AA63" i="16"/>
  <c r="AA59" i="16"/>
  <c r="AA34" i="16"/>
  <c r="AA30" i="16"/>
  <c r="AA26" i="16"/>
  <c r="AA58" i="16"/>
  <c r="AA33" i="16"/>
  <c r="AA29" i="16"/>
  <c r="Z11" i="21" l="1"/>
  <c r="AH11" i="21" s="1"/>
  <c r="AP8" i="16"/>
  <c r="AQ8" i="16" s="1"/>
  <c r="AH9" i="21"/>
  <c r="AG26" i="16"/>
  <c r="L26" i="21"/>
  <c r="AG62" i="16"/>
  <c r="L62" i="21"/>
  <c r="O62" i="21" s="1"/>
  <c r="AG29" i="16"/>
  <c r="L29" i="21"/>
  <c r="O29" i="21" s="1"/>
  <c r="AG33" i="16"/>
  <c r="L33" i="21"/>
  <c r="O33" i="21" s="1"/>
  <c r="AG63" i="16"/>
  <c r="L63" i="21"/>
  <c r="O63" i="21" s="1"/>
  <c r="AG56" i="16"/>
  <c r="L56" i="21"/>
  <c r="O56" i="21" s="1"/>
  <c r="AG57" i="16"/>
  <c r="L57" i="21"/>
  <c r="O57" i="21" s="1"/>
  <c r="AG30" i="16"/>
  <c r="L30" i="21"/>
  <c r="O30" i="21" s="1"/>
  <c r="AG27" i="16"/>
  <c r="L27" i="21"/>
  <c r="O27" i="21" s="1"/>
  <c r="AG60" i="16"/>
  <c r="L60" i="21"/>
  <c r="O60" i="21" s="1"/>
  <c r="AG28" i="16"/>
  <c r="L28" i="21"/>
  <c r="O28" i="21" s="1"/>
  <c r="AG61" i="16"/>
  <c r="L61" i="21"/>
  <c r="O61" i="21" s="1"/>
  <c r="AG34" i="16"/>
  <c r="L34" i="21"/>
  <c r="O34" i="21" s="1"/>
  <c r="AG31" i="16"/>
  <c r="L31" i="21"/>
  <c r="O31" i="21" s="1"/>
  <c r="AG64" i="16"/>
  <c r="L64" i="21"/>
  <c r="O64" i="21" s="1"/>
  <c r="AG32" i="16"/>
  <c r="L32" i="21"/>
  <c r="O32" i="21" s="1"/>
  <c r="AG58" i="16"/>
  <c r="L58" i="21"/>
  <c r="O58" i="21" s="1"/>
  <c r="AG59" i="16"/>
  <c r="L59" i="21"/>
  <c r="O59" i="21" s="1"/>
  <c r="AG35" i="16"/>
  <c r="L35" i="21"/>
  <c r="O35" i="21" s="1"/>
  <c r="AG37" i="16"/>
  <c r="L37" i="21"/>
  <c r="O37" i="21" s="1"/>
  <c r="AG36" i="16"/>
  <c r="L36" i="21"/>
  <c r="O36" i="21" s="1"/>
  <c r="AC7" i="21" l="1"/>
  <c r="AP2" i="16"/>
  <c r="AQ2" i="16" s="1"/>
  <c r="O26" i="21"/>
  <c r="W7" i="21" s="1"/>
  <c r="T7" i="21"/>
  <c r="AP7" i="16" l="1"/>
  <c r="AQ7" i="16" s="1"/>
  <c r="Z7" i="21"/>
  <c r="AH7" i="21" s="1"/>
  <c r="AP9" i="16" l="1"/>
  <c r="AQ9" i="16" s="1"/>
  <c r="K2" i="21"/>
  <c r="N2" i="21"/>
  <c r="K3" i="21"/>
  <c r="N3" i="21"/>
  <c r="K4" i="21"/>
  <c r="N4" i="21"/>
  <c r="K5" i="21"/>
  <c r="N5" i="21"/>
  <c r="K6" i="21"/>
  <c r="N6" i="21"/>
  <c r="K7" i="21"/>
  <c r="N7" i="21"/>
  <c r="R7" i="21"/>
  <c r="S7" i="21"/>
  <c r="U7" i="21"/>
  <c r="V7" i="21"/>
  <c r="X7" i="21"/>
  <c r="Y7" i="21"/>
  <c r="AA7" i="21"/>
  <c r="AB7" i="21"/>
  <c r="AF7" i="21"/>
  <c r="AG7" i="21"/>
  <c r="AI7" i="21"/>
  <c r="AJ7" i="21"/>
  <c r="K8" i="21"/>
  <c r="N8" i="21"/>
  <c r="K9" i="21"/>
  <c r="N9" i="21"/>
  <c r="S9" i="21"/>
  <c r="V9" i="21"/>
  <c r="Y9" i="21"/>
  <c r="AB9" i="21"/>
  <c r="AE9" i="21"/>
  <c r="AG9" i="21"/>
  <c r="AJ9" i="21"/>
  <c r="K10" i="21"/>
  <c r="N10" i="21"/>
  <c r="S10" i="21"/>
  <c r="V10" i="21"/>
  <c r="Y10" i="21"/>
  <c r="AB10" i="21"/>
  <c r="AE10" i="21"/>
  <c r="AG10" i="21"/>
  <c r="AJ10" i="21"/>
  <c r="K11" i="21"/>
  <c r="N11" i="21"/>
  <c r="S11" i="21"/>
  <c r="V11" i="21"/>
  <c r="Y11" i="21"/>
  <c r="AB11" i="21"/>
  <c r="AE11" i="21"/>
  <c r="AG11" i="21"/>
  <c r="AJ11" i="21"/>
  <c r="K12" i="21"/>
  <c r="N12" i="21"/>
  <c r="S12" i="21"/>
  <c r="V12" i="21"/>
  <c r="Y12" i="21"/>
  <c r="AB12" i="21"/>
  <c r="AG12" i="21"/>
  <c r="AJ12" i="21"/>
  <c r="K13" i="21"/>
  <c r="N13" i="21"/>
  <c r="J14" i="21"/>
  <c r="M14" i="21"/>
  <c r="J15" i="21"/>
  <c r="M15" i="21"/>
  <c r="J16" i="21"/>
  <c r="M16" i="21"/>
  <c r="J17" i="21"/>
  <c r="M17" i="21"/>
  <c r="J18" i="21"/>
  <c r="M18" i="21"/>
  <c r="J19" i="21"/>
  <c r="M19" i="21"/>
  <c r="J20" i="21"/>
  <c r="M20" i="21"/>
  <c r="J21" i="21"/>
  <c r="M21" i="21"/>
  <c r="J22" i="21"/>
  <c r="M22" i="21"/>
  <c r="J23" i="21"/>
  <c r="M23" i="21"/>
  <c r="J24" i="21"/>
  <c r="M24" i="21"/>
  <c r="J25" i="21"/>
  <c r="M25" i="21"/>
  <c r="K26" i="21"/>
  <c r="N26" i="21"/>
  <c r="K27" i="21"/>
  <c r="N27" i="21"/>
  <c r="K28" i="21"/>
  <c r="N28" i="21"/>
  <c r="K29" i="21"/>
  <c r="N29" i="21"/>
  <c r="K30" i="21"/>
  <c r="N30" i="21"/>
  <c r="K31" i="21"/>
  <c r="N31" i="21"/>
  <c r="K32" i="21"/>
  <c r="N32" i="21"/>
  <c r="K33" i="21"/>
  <c r="N33" i="21"/>
  <c r="K34" i="21"/>
  <c r="N34" i="21"/>
  <c r="K35" i="21"/>
  <c r="N35" i="21"/>
  <c r="K36" i="21"/>
  <c r="N36" i="21"/>
  <c r="K37" i="21"/>
  <c r="N37" i="21"/>
  <c r="K38" i="21"/>
  <c r="N38" i="21"/>
  <c r="K39" i="21"/>
  <c r="N39" i="21"/>
  <c r="K40" i="21"/>
  <c r="N40" i="21"/>
  <c r="K41" i="21"/>
  <c r="N41" i="21"/>
  <c r="K42" i="21"/>
  <c r="N42" i="21"/>
  <c r="K43" i="21"/>
  <c r="N43" i="21"/>
  <c r="K44" i="21"/>
  <c r="N44" i="21"/>
  <c r="K45" i="21"/>
  <c r="N45" i="21"/>
  <c r="K46" i="21"/>
  <c r="N46" i="21"/>
  <c r="J47" i="21"/>
  <c r="M47" i="21"/>
  <c r="J48" i="21"/>
  <c r="M48" i="21"/>
  <c r="J49" i="21"/>
  <c r="M49" i="21"/>
  <c r="J50" i="21"/>
  <c r="M50" i="21"/>
  <c r="J51" i="21"/>
  <c r="M51" i="21"/>
  <c r="J52" i="21"/>
  <c r="M52" i="21"/>
  <c r="J53" i="21"/>
  <c r="M53" i="21"/>
  <c r="J54" i="21"/>
  <c r="M54" i="21"/>
  <c r="J55" i="21"/>
  <c r="M55" i="21"/>
  <c r="K56" i="21"/>
  <c r="N56" i="21"/>
  <c r="K57" i="21"/>
  <c r="N57" i="21"/>
  <c r="K58" i="21"/>
  <c r="N58" i="21"/>
  <c r="K59" i="21"/>
  <c r="N59" i="21"/>
  <c r="K60" i="21"/>
  <c r="N60" i="21"/>
  <c r="K61" i="21"/>
  <c r="N61" i="21"/>
  <c r="K62" i="21"/>
  <c r="N62" i="21"/>
  <c r="K63" i="21"/>
  <c r="N63" i="21"/>
  <c r="K64" i="21"/>
  <c r="N64" i="21"/>
  <c r="K65" i="21"/>
  <c r="N65" i="21"/>
  <c r="K66" i="21"/>
  <c r="N66" i="21"/>
  <c r="K67" i="21"/>
  <c r="N67" i="21"/>
  <c r="K68" i="21"/>
  <c r="N68" i="21"/>
  <c r="K69" i="21"/>
  <c r="N69" i="21"/>
  <c r="K70" i="21"/>
  <c r="N70" i="21"/>
  <c r="K71" i="21"/>
  <c r="N71" i="21"/>
  <c r="K72" i="21"/>
  <c r="N72" i="21"/>
  <c r="K73" i="21"/>
  <c r="N73" i="21"/>
  <c r="K74" i="21"/>
  <c r="N74" i="21"/>
  <c r="K75" i="21"/>
  <c r="N75" i="21"/>
  <c r="K76" i="21"/>
  <c r="N76" i="21"/>
  <c r="K77" i="21"/>
  <c r="N77" i="21"/>
  <c r="K78" i="21"/>
  <c r="N78" i="21"/>
  <c r="K79" i="21"/>
  <c r="N79" i="21"/>
  <c r="K80" i="21"/>
  <c r="N80" i="21"/>
  <c r="K81" i="21"/>
  <c r="N81" i="21"/>
  <c r="K82" i="21"/>
  <c r="N82" i="21"/>
  <c r="K83" i="21"/>
  <c r="N83" i="21"/>
  <c r="K84" i="21"/>
  <c r="N84" i="21"/>
  <c r="K85" i="21"/>
  <c r="N85" i="21"/>
  <c r="K86" i="21"/>
  <c r="N86" i="21"/>
  <c r="K87" i="21"/>
  <c r="N87" i="21"/>
  <c r="K88" i="21"/>
  <c r="N88" i="21"/>
  <c r="K89" i="21"/>
  <c r="N89" i="21"/>
  <c r="K90" i="21"/>
  <c r="N90" i="21"/>
  <c r="K91" i="21"/>
  <c r="N91" i="21"/>
  <c r="K92" i="21"/>
  <c r="N92" i="21"/>
  <c r="K93" i="21"/>
  <c r="N93" i="21"/>
  <c r="K94" i="21"/>
  <c r="N94" i="21"/>
  <c r="K95" i="21"/>
  <c r="N95" i="21"/>
  <c r="K96" i="21"/>
  <c r="N96" i="21"/>
  <c r="K97" i="21"/>
  <c r="N97" i="21"/>
  <c r="K98" i="21"/>
  <c r="N98" i="21"/>
  <c r="K99" i="21"/>
  <c r="N99" i="21"/>
  <c r="K100" i="21"/>
  <c r="N100" i="21"/>
  <c r="K101" i="21"/>
  <c r="N101" i="21"/>
  <c r="K102" i="21"/>
  <c r="N102" i="21"/>
  <c r="K103" i="21"/>
  <c r="N103" i="21"/>
  <c r="K104" i="21"/>
  <c r="N104" i="21"/>
  <c r="K105" i="21"/>
  <c r="N105" i="21"/>
  <c r="K106" i="21"/>
  <c r="N106" i="21"/>
  <c r="K107" i="21"/>
  <c r="N107" i="21"/>
  <c r="K108" i="21"/>
  <c r="N108" i="21"/>
  <c r="K109" i="21"/>
  <c r="N109" i="21"/>
  <c r="K110" i="21"/>
  <c r="N110" i="21"/>
  <c r="K111" i="21"/>
  <c r="N111" i="21"/>
  <c r="K112" i="21"/>
  <c r="N112" i="21"/>
  <c r="K113" i="21"/>
  <c r="N113" i="21"/>
  <c r="K114" i="21"/>
  <c r="N114" i="21"/>
  <c r="K115" i="21"/>
  <c r="N115" i="21"/>
  <c r="K116" i="21"/>
  <c r="N116" i="21"/>
  <c r="K117" i="21"/>
  <c r="N117" i="21"/>
  <c r="K118" i="21"/>
  <c r="N118" i="21"/>
  <c r="K119" i="21"/>
  <c r="N119" i="21"/>
  <c r="K120" i="21"/>
  <c r="N120" i="21"/>
  <c r="K121" i="21"/>
  <c r="N121" i="21"/>
  <c r="K122" i="21"/>
  <c r="N122" i="21"/>
  <c r="K123" i="21"/>
  <c r="N123" i="21"/>
  <c r="K124" i="21"/>
  <c r="N124" i="21"/>
  <c r="K125" i="21"/>
  <c r="N125" i="21"/>
  <c r="K126" i="21"/>
  <c r="N126" i="21"/>
  <c r="K127" i="21"/>
  <c r="N127" i="21"/>
  <c r="K128" i="21"/>
  <c r="N128" i="21"/>
  <c r="K129" i="21"/>
  <c r="N129" i="21"/>
  <c r="K130" i="21"/>
  <c r="N130" i="21"/>
  <c r="K131" i="21"/>
  <c r="N131" i="21"/>
  <c r="K132" i="21"/>
  <c r="N132" i="21"/>
  <c r="K133" i="21"/>
  <c r="N133" i="21"/>
  <c r="K134" i="21"/>
  <c r="N134" i="21"/>
  <c r="K135" i="21"/>
  <c r="N135" i="21"/>
  <c r="K136" i="21"/>
  <c r="N136" i="21"/>
  <c r="K137" i="21"/>
  <c r="N137" i="21"/>
  <c r="K138" i="21"/>
  <c r="N138" i="21"/>
  <c r="K139" i="21"/>
  <c r="N139" i="21"/>
  <c r="K140" i="21"/>
  <c r="N140" i="21"/>
  <c r="K141" i="21"/>
  <c r="N141" i="21"/>
  <c r="K142" i="21"/>
  <c r="N142" i="21"/>
  <c r="K143" i="21"/>
  <c r="N143" i="21"/>
  <c r="K144" i="21"/>
  <c r="N144" i="21"/>
  <c r="K145" i="21"/>
  <c r="N145" i="21"/>
  <c r="K146" i="21"/>
  <c r="N146" i="21"/>
  <c r="K147" i="21"/>
  <c r="N147" i="21"/>
  <c r="K148" i="21"/>
  <c r="N148" i="21"/>
  <c r="K149" i="21"/>
  <c r="N149" i="21"/>
  <c r="K150" i="21"/>
  <c r="N150" i="21"/>
  <c r="K151" i="21"/>
  <c r="N151" i="21"/>
  <c r="K152" i="21"/>
  <c r="N152" i="21"/>
  <c r="K153" i="21"/>
  <c r="N153" i="21"/>
  <c r="K154" i="21"/>
  <c r="N154" i="21"/>
  <c r="K155" i="21"/>
  <c r="N155" i="21"/>
  <c r="K156" i="21"/>
  <c r="N156" i="21"/>
  <c r="K157" i="21"/>
  <c r="N157" i="21"/>
  <c r="K158" i="21"/>
  <c r="N158" i="21"/>
  <c r="K159" i="21"/>
  <c r="N159" i="21"/>
  <c r="K160" i="21"/>
  <c r="N160" i="21"/>
  <c r="K161" i="21"/>
  <c r="N161" i="21"/>
  <c r="K162" i="21"/>
  <c r="N162" i="21"/>
  <c r="K163" i="21"/>
  <c r="N163" i="21"/>
  <c r="K164" i="21"/>
  <c r="N164" i="21"/>
  <c r="K165" i="21"/>
  <c r="N165" i="21"/>
  <c r="K166" i="21"/>
  <c r="N166" i="21"/>
  <c r="K167" i="21"/>
  <c r="N167" i="21"/>
  <c r="K168" i="21"/>
  <c r="N168" i="21"/>
  <c r="K169" i="21"/>
  <c r="N169" i="21"/>
  <c r="K170" i="21"/>
  <c r="N170" i="21"/>
  <c r="K171" i="21"/>
  <c r="N171" i="21"/>
  <c r="K172" i="21"/>
  <c r="N172" i="21"/>
  <c r="K173" i="21"/>
  <c r="N173" i="21"/>
  <c r="K174" i="21"/>
  <c r="N174" i="21"/>
  <c r="K175" i="21"/>
  <c r="N175" i="21"/>
  <c r="K176" i="21"/>
  <c r="N176" i="21"/>
  <c r="K177" i="21"/>
  <c r="N177" i="21"/>
  <c r="K178" i="21"/>
  <c r="N178" i="21"/>
  <c r="K179" i="21"/>
  <c r="N179" i="21"/>
  <c r="K180" i="21"/>
  <c r="N180" i="21"/>
  <c r="K181" i="21"/>
  <c r="N181" i="21"/>
  <c r="K182" i="21"/>
  <c r="N182" i="21"/>
  <c r="K183" i="21"/>
  <c r="N183" i="21"/>
  <c r="K184" i="21"/>
  <c r="N184" i="21"/>
  <c r="K185" i="21"/>
  <c r="N185" i="21"/>
  <c r="K186" i="21"/>
  <c r="N186" i="21"/>
  <c r="K187" i="21"/>
  <c r="N187" i="21"/>
  <c r="K188" i="21"/>
  <c r="N188" i="21"/>
  <c r="K189" i="21"/>
  <c r="N189" i="21"/>
  <c r="K190" i="21"/>
  <c r="N190" i="21"/>
  <c r="K191" i="21"/>
  <c r="N191" i="21"/>
  <c r="K192" i="21"/>
  <c r="N192" i="21"/>
  <c r="K193" i="21"/>
  <c r="N193" i="21"/>
  <c r="K194" i="21"/>
  <c r="N194" i="21"/>
  <c r="K195" i="21"/>
  <c r="N195" i="21"/>
  <c r="K196" i="21"/>
  <c r="N196" i="21"/>
  <c r="K197" i="21"/>
  <c r="N197" i="21"/>
  <c r="K198" i="21"/>
  <c r="N198" i="21"/>
  <c r="K199" i="21"/>
  <c r="N199" i="21"/>
  <c r="K200" i="21"/>
  <c r="N200" i="21"/>
  <c r="K201" i="21"/>
  <c r="N201" i="21"/>
  <c r="K202" i="21"/>
  <c r="N202" i="21"/>
  <c r="K203" i="21"/>
  <c r="N203" i="21"/>
  <c r="K204" i="21"/>
  <c r="N204" i="21"/>
  <c r="K205" i="21"/>
  <c r="N205" i="21"/>
  <c r="K206" i="21"/>
  <c r="N206" i="21"/>
  <c r="K207" i="21"/>
  <c r="N207" i="21"/>
  <c r="K208" i="21"/>
  <c r="N208" i="21"/>
  <c r="K209" i="21"/>
  <c r="N209" i="21"/>
  <c r="K210" i="21"/>
  <c r="N210" i="21"/>
  <c r="K211" i="21"/>
  <c r="N211" i="21"/>
  <c r="K212" i="21"/>
  <c r="N212" i="21"/>
  <c r="K213" i="21"/>
  <c r="N213" i="21"/>
  <c r="K214" i="21"/>
  <c r="N214" i="21"/>
  <c r="K215" i="21"/>
  <c r="N215" i="21"/>
  <c r="K216" i="21"/>
  <c r="N216" i="21"/>
  <c r="K217" i="21"/>
  <c r="N217" i="21"/>
  <c r="K218" i="21"/>
  <c r="N218" i="21"/>
  <c r="K219" i="21"/>
  <c r="N219" i="21"/>
  <c r="K220" i="21"/>
  <c r="N220" i="21"/>
  <c r="K221" i="21"/>
  <c r="N221" i="21"/>
  <c r="K222" i="21"/>
  <c r="N222" i="21"/>
  <c r="K223" i="21"/>
  <c r="N223" i="21"/>
  <c r="K224" i="21"/>
  <c r="N224" i="21"/>
  <c r="K225" i="21"/>
  <c r="N225" i="21"/>
  <c r="K226" i="21"/>
  <c r="N226" i="21"/>
  <c r="K227" i="21"/>
  <c r="N227" i="21"/>
  <c r="K228" i="21"/>
  <c r="N228" i="21"/>
  <c r="K229" i="21"/>
  <c r="N229" i="21"/>
  <c r="K230" i="21"/>
  <c r="N230" i="21"/>
  <c r="K231" i="21"/>
  <c r="N231" i="21"/>
  <c r="K232" i="21"/>
  <c r="N232" i="21"/>
  <c r="K233" i="21"/>
  <c r="N233" i="21"/>
  <c r="K234" i="21"/>
  <c r="N234" i="21"/>
  <c r="K235" i="21"/>
  <c r="N235" i="21"/>
  <c r="K236" i="21"/>
  <c r="N236" i="21"/>
  <c r="K237" i="21"/>
  <c r="N237" i="21"/>
  <c r="K238" i="21"/>
  <c r="N238" i="21"/>
  <c r="K239" i="21"/>
  <c r="N239" i="21"/>
  <c r="K240" i="21"/>
  <c r="N240" i="21"/>
  <c r="K241" i="21"/>
  <c r="N241" i="21"/>
  <c r="D48" i="5"/>
  <c r="E48" i="5"/>
  <c r="F48" i="5"/>
  <c r="D49" i="5"/>
  <c r="E49" i="5"/>
  <c r="F49" i="5"/>
  <c r="Z2" i="16"/>
  <c r="AF2" i="16"/>
  <c r="AK2" i="16"/>
  <c r="AL2" i="16"/>
  <c r="AU2" i="16"/>
  <c r="AV2" i="16"/>
  <c r="Z3" i="16"/>
  <c r="AF3" i="16"/>
  <c r="AK3" i="16"/>
  <c r="AL3" i="16"/>
  <c r="AU3" i="16"/>
  <c r="AV3" i="16"/>
  <c r="Z4" i="16"/>
  <c r="AF4" i="16"/>
  <c r="AK4" i="16"/>
  <c r="AL4" i="16"/>
  <c r="AU4" i="16"/>
  <c r="AV4" i="16"/>
  <c r="Z5" i="16"/>
  <c r="AF5" i="16"/>
  <c r="AK5" i="16"/>
  <c r="AL5" i="16"/>
  <c r="AU5" i="16"/>
  <c r="AV5" i="16"/>
  <c r="Z6" i="16"/>
  <c r="AF6" i="16"/>
  <c r="AK6" i="16"/>
  <c r="AL6" i="16"/>
  <c r="AU6" i="16"/>
  <c r="AV6" i="16"/>
  <c r="Z7" i="16"/>
  <c r="AF7" i="16"/>
  <c r="AK7" i="16"/>
  <c r="AL7" i="16"/>
  <c r="AU7" i="16"/>
  <c r="AV7" i="16"/>
  <c r="Z8" i="16"/>
  <c r="AF8" i="16"/>
  <c r="AK8" i="16"/>
  <c r="AL8" i="16"/>
  <c r="AU8" i="16"/>
  <c r="AV8" i="16"/>
  <c r="Z9" i="16"/>
  <c r="AF9" i="16"/>
  <c r="AK9" i="16"/>
  <c r="AL9" i="16"/>
  <c r="AU9" i="16"/>
  <c r="AV9" i="16"/>
  <c r="Z10" i="16"/>
  <c r="AF10" i="16"/>
  <c r="Z11" i="16"/>
  <c r="AF11" i="16"/>
  <c r="Z12" i="16"/>
  <c r="AF12" i="16"/>
  <c r="Z13" i="16"/>
  <c r="AF13" i="16"/>
  <c r="Y14" i="16"/>
  <c r="AE14" i="16"/>
  <c r="Y15" i="16"/>
  <c r="AE15" i="16"/>
  <c r="Y16" i="16"/>
  <c r="AE16" i="16"/>
  <c r="Y17" i="16"/>
  <c r="AE17" i="16"/>
  <c r="Y18" i="16"/>
  <c r="AE18" i="16"/>
  <c r="Y19" i="16"/>
  <c r="AE19" i="16"/>
  <c r="Y20" i="16"/>
  <c r="AE20" i="16"/>
  <c r="Y21" i="16"/>
  <c r="AE21" i="16"/>
  <c r="Y22" i="16"/>
  <c r="AE22" i="16"/>
  <c r="Y23" i="16"/>
  <c r="AE23" i="16"/>
  <c r="Y24" i="16"/>
  <c r="AE24" i="16"/>
  <c r="Y25" i="16"/>
  <c r="AE25" i="16"/>
  <c r="Z26" i="16"/>
  <c r="AF26" i="16"/>
  <c r="Z27" i="16"/>
  <c r="AF27" i="16"/>
  <c r="Z28" i="16"/>
  <c r="AF28" i="16"/>
  <c r="Z29" i="16"/>
  <c r="AF29" i="16"/>
  <c r="Z30" i="16"/>
  <c r="AF30" i="16"/>
  <c r="Z31" i="16"/>
  <c r="AF31" i="16"/>
  <c r="Z32" i="16"/>
  <c r="AF32" i="16"/>
  <c r="Z33" i="16"/>
  <c r="AF33" i="16"/>
  <c r="Z34" i="16"/>
  <c r="AF34" i="16"/>
  <c r="Z35" i="16"/>
  <c r="AF35" i="16"/>
  <c r="Z36" i="16"/>
  <c r="AF36" i="16"/>
  <c r="Z37" i="16"/>
  <c r="AF37" i="16"/>
  <c r="Z38" i="16"/>
  <c r="AF38" i="16"/>
  <c r="Z39" i="16"/>
  <c r="AF39" i="16"/>
  <c r="Z40" i="16"/>
  <c r="AF40" i="16"/>
  <c r="Z41" i="16"/>
  <c r="AF41" i="16"/>
  <c r="Z42" i="16"/>
  <c r="AF42" i="16"/>
  <c r="Z43" i="16"/>
  <c r="AF43" i="16"/>
  <c r="Z44" i="16"/>
  <c r="AF44" i="16"/>
  <c r="Z45" i="16"/>
  <c r="AF45" i="16"/>
  <c r="Z46" i="16"/>
  <c r="AF46" i="16"/>
  <c r="Y47" i="16"/>
  <c r="AE47" i="16"/>
  <c r="Y48" i="16"/>
  <c r="AE48" i="16"/>
  <c r="Y49" i="16"/>
  <c r="AE49" i="16"/>
  <c r="Y50" i="16"/>
  <c r="AE50" i="16"/>
  <c r="Y51" i="16"/>
  <c r="AE51" i="16"/>
  <c r="Y52" i="16"/>
  <c r="AE52" i="16"/>
  <c r="Y53" i="16"/>
  <c r="AE53" i="16"/>
  <c r="Y54" i="16"/>
  <c r="AE54" i="16"/>
  <c r="Y55" i="16"/>
  <c r="AE55" i="16"/>
  <c r="Z56" i="16"/>
  <c r="AF56" i="16"/>
  <c r="Z57" i="16"/>
  <c r="AF57" i="16"/>
  <c r="Z58" i="16"/>
  <c r="AF58" i="16"/>
  <c r="Z59" i="16"/>
  <c r="AF59" i="16"/>
  <c r="Z60" i="16"/>
  <c r="AF60" i="16"/>
  <c r="Z61" i="16"/>
  <c r="AF61" i="16"/>
  <c r="Z62" i="16"/>
  <c r="AF62" i="16"/>
  <c r="Z63" i="16"/>
  <c r="AF63" i="16"/>
  <c r="Z64" i="16"/>
  <c r="AF64" i="16"/>
  <c r="Z65" i="16"/>
  <c r="AF65" i="16"/>
  <c r="Z66" i="16"/>
  <c r="AF66" i="16"/>
  <c r="Z67" i="16"/>
  <c r="AF67" i="16"/>
  <c r="Z68" i="16"/>
  <c r="AF68" i="16"/>
  <c r="Z69" i="16"/>
  <c r="AF69" i="16"/>
  <c r="Z70" i="16"/>
  <c r="AF70" i="16"/>
  <c r="Z71" i="16"/>
  <c r="AF71" i="16"/>
  <c r="Z72" i="16"/>
  <c r="AF72" i="16"/>
  <c r="Z73" i="16"/>
  <c r="AF73" i="16"/>
  <c r="Z74" i="16"/>
  <c r="AF74" i="16"/>
  <c r="Z75" i="16"/>
  <c r="AF75" i="16"/>
  <c r="Z76" i="16"/>
  <c r="AF76" i="16"/>
  <c r="Z77" i="16"/>
  <c r="AF77" i="16"/>
  <c r="Z78" i="16"/>
  <c r="AF78" i="16"/>
  <c r="Z79" i="16"/>
  <c r="AF79" i="16"/>
  <c r="Z80" i="16"/>
  <c r="AF80" i="16"/>
  <c r="Z81" i="16"/>
  <c r="AF81" i="16"/>
  <c r="Z82" i="16"/>
  <c r="AF82" i="16"/>
  <c r="Z83" i="16"/>
  <c r="AF83" i="16"/>
  <c r="Z84" i="16"/>
  <c r="AF84" i="16"/>
  <c r="Z85" i="16"/>
  <c r="AF85" i="16"/>
  <c r="Z86" i="16"/>
  <c r="AF86" i="16"/>
  <c r="Z87" i="16"/>
  <c r="AF87" i="16"/>
  <c r="Z88" i="16"/>
  <c r="AF88" i="16"/>
  <c r="Z89" i="16"/>
  <c r="AF89" i="16"/>
  <c r="Z90" i="16"/>
  <c r="AF90" i="16"/>
  <c r="Z91" i="16"/>
  <c r="AF91" i="16"/>
  <c r="Z92" i="16"/>
  <c r="AF92" i="16"/>
  <c r="Z93" i="16"/>
  <c r="AF93" i="16"/>
  <c r="Z94" i="16"/>
  <c r="AF94" i="16"/>
  <c r="Z95" i="16"/>
  <c r="AF95" i="16"/>
  <c r="Z96" i="16"/>
  <c r="AF96" i="16"/>
  <c r="Z97" i="16"/>
  <c r="AF97" i="16"/>
  <c r="Z98" i="16"/>
  <c r="AF98" i="16"/>
  <c r="Z99" i="16"/>
  <c r="AF99" i="16"/>
  <c r="Z100" i="16"/>
  <c r="AF100" i="16"/>
  <c r="Z101" i="16"/>
  <c r="AF101" i="16"/>
  <c r="Z102" i="16"/>
  <c r="AF102" i="16"/>
  <c r="Z103" i="16"/>
  <c r="AF103" i="16"/>
  <c r="Z104" i="16"/>
  <c r="AF104" i="16"/>
  <c r="Z105" i="16"/>
  <c r="AF105" i="16"/>
  <c r="Z106" i="16"/>
  <c r="AF106" i="16"/>
  <c r="Z107" i="16"/>
  <c r="AF107" i="16"/>
  <c r="Z108" i="16"/>
  <c r="AF108" i="16"/>
  <c r="Z109" i="16"/>
  <c r="AF109" i="16"/>
  <c r="Z110" i="16"/>
  <c r="AF110" i="16"/>
  <c r="Z111" i="16"/>
  <c r="AF111" i="16"/>
  <c r="Z112" i="16"/>
  <c r="AF112" i="16"/>
  <c r="Z113" i="16"/>
  <c r="AF113" i="16"/>
  <c r="Z114" i="16"/>
  <c r="AF114" i="16"/>
  <c r="Z115" i="16"/>
  <c r="AF115" i="16"/>
  <c r="Z116" i="16"/>
  <c r="AF116" i="16"/>
  <c r="Z117" i="16"/>
  <c r="AF117" i="16"/>
  <c r="Z118" i="16"/>
  <c r="AF118" i="16"/>
  <c r="Z119" i="16"/>
  <c r="AF119" i="16"/>
  <c r="Z120" i="16"/>
  <c r="AF120" i="16"/>
  <c r="Z121" i="16"/>
  <c r="AF121" i="16"/>
  <c r="Z122" i="16"/>
  <c r="AF122" i="16"/>
  <c r="Z123" i="16"/>
  <c r="AF123" i="16"/>
  <c r="Z124" i="16"/>
  <c r="AF124" i="16"/>
  <c r="Z125" i="16"/>
  <c r="AF125" i="16"/>
  <c r="Z126" i="16"/>
  <c r="AF126" i="16"/>
  <c r="Z127" i="16"/>
  <c r="AF127" i="16"/>
  <c r="Z128" i="16"/>
  <c r="AF128" i="16"/>
  <c r="Z129" i="16"/>
  <c r="AF129" i="16"/>
  <c r="Z130" i="16"/>
  <c r="AF130" i="16"/>
  <c r="Z131" i="16"/>
  <c r="AF131" i="16"/>
  <c r="Z132" i="16"/>
  <c r="AF132" i="16"/>
  <c r="Z133" i="16"/>
  <c r="AF133" i="16"/>
  <c r="Z134" i="16"/>
  <c r="AF134" i="16"/>
  <c r="Z135" i="16"/>
  <c r="AF135" i="16"/>
  <c r="Z136" i="16"/>
  <c r="AF136" i="16"/>
  <c r="Z137" i="16"/>
  <c r="AF137" i="16"/>
  <c r="Z138" i="16"/>
  <c r="AF138" i="16"/>
  <c r="Z139" i="16"/>
  <c r="AF139" i="16"/>
  <c r="Z140" i="16"/>
  <c r="AF140" i="16"/>
  <c r="Z141" i="16"/>
  <c r="AF141" i="16"/>
  <c r="Z142" i="16"/>
  <c r="AF142" i="16"/>
  <c r="Z143" i="16"/>
  <c r="AF143" i="16"/>
  <c r="Z144" i="16"/>
  <c r="AF144" i="16"/>
  <c r="Z145" i="16"/>
  <c r="AF145" i="16"/>
  <c r="Z146" i="16"/>
  <c r="AF146" i="16"/>
  <c r="Z147" i="16"/>
  <c r="AF147" i="16"/>
  <c r="Z148" i="16"/>
  <c r="AF148" i="16"/>
  <c r="Z149" i="16"/>
  <c r="AF149" i="16"/>
  <c r="Z150" i="16"/>
  <c r="AF150" i="16"/>
  <c r="Z151" i="16"/>
  <c r="AF151" i="16"/>
  <c r="Z152" i="16"/>
  <c r="AF152" i="16"/>
  <c r="Z153" i="16"/>
  <c r="AF153" i="16"/>
  <c r="Z154" i="16"/>
  <c r="AF154" i="16"/>
  <c r="Z155" i="16"/>
  <c r="AF155" i="16"/>
  <c r="Z156" i="16"/>
  <c r="AF156" i="16"/>
  <c r="Z157" i="16"/>
  <c r="AF157" i="16"/>
  <c r="Z158" i="16"/>
  <c r="AF158" i="16"/>
  <c r="Z159" i="16"/>
  <c r="AF159" i="16"/>
  <c r="Z160" i="16"/>
  <c r="AF160" i="16"/>
  <c r="Z161" i="16"/>
  <c r="AF161" i="16"/>
  <c r="Z162" i="16"/>
  <c r="AF162" i="16"/>
  <c r="Z163" i="16"/>
  <c r="AF163" i="16"/>
  <c r="Z164" i="16"/>
  <c r="AF164" i="16"/>
  <c r="Z165" i="16"/>
  <c r="AF165" i="16"/>
  <c r="Z166" i="16"/>
  <c r="AF166" i="16"/>
  <c r="Z167" i="16"/>
  <c r="AF167" i="16"/>
  <c r="Z168" i="16"/>
  <c r="AF168" i="16"/>
  <c r="Z169" i="16"/>
  <c r="AF169" i="16"/>
  <c r="Z170" i="16"/>
  <c r="AF170" i="16"/>
  <c r="Z171" i="16"/>
  <c r="AF171" i="16"/>
  <c r="Z172" i="16"/>
  <c r="AF172" i="16"/>
  <c r="Z173" i="16"/>
  <c r="AF173" i="16"/>
  <c r="Z174" i="16"/>
  <c r="AF174" i="16"/>
  <c r="Z175" i="16"/>
  <c r="AF175" i="16"/>
  <c r="Z176" i="16"/>
  <c r="AF176" i="16"/>
  <c r="Z177" i="16"/>
  <c r="AF177" i="16"/>
  <c r="Z178" i="16"/>
  <c r="AF178" i="16"/>
  <c r="Z179" i="16"/>
  <c r="AF179" i="16"/>
  <c r="Z180" i="16"/>
  <c r="AF180" i="16"/>
  <c r="Z181" i="16"/>
  <c r="AF181" i="16"/>
  <c r="Z182" i="16"/>
  <c r="AF182" i="16"/>
  <c r="Z183" i="16"/>
  <c r="AF183" i="16"/>
  <c r="Z184" i="16"/>
  <c r="AF184" i="16"/>
  <c r="Z185" i="16"/>
  <c r="AF185" i="16"/>
  <c r="Z186" i="16"/>
  <c r="AF186" i="16"/>
  <c r="Z187" i="16"/>
  <c r="AF187" i="16"/>
  <c r="Z188" i="16"/>
  <c r="AF188" i="16"/>
  <c r="Z189" i="16"/>
  <c r="AF189" i="16"/>
  <c r="Z190" i="16"/>
  <c r="AF190" i="16"/>
  <c r="Z191" i="16"/>
  <c r="AF191" i="16"/>
  <c r="Z192" i="16"/>
  <c r="AF192" i="16"/>
  <c r="Z193" i="16"/>
  <c r="AF193" i="16"/>
  <c r="Z194" i="16"/>
  <c r="AF194" i="16"/>
  <c r="Z195" i="16"/>
  <c r="AF195" i="16"/>
  <c r="Z196" i="16"/>
  <c r="AF196" i="16"/>
  <c r="Z197" i="16"/>
  <c r="AF197" i="16"/>
  <c r="Z198" i="16"/>
  <c r="AF198" i="16"/>
  <c r="Z199" i="16"/>
  <c r="AF199" i="16"/>
  <c r="Z200" i="16"/>
  <c r="AF200" i="16"/>
  <c r="Z201" i="16"/>
  <c r="AF201" i="16"/>
  <c r="Z202" i="16"/>
  <c r="AF202" i="16"/>
  <c r="Z203" i="16"/>
  <c r="AF203" i="16"/>
  <c r="Z204" i="16"/>
  <c r="AF204" i="16"/>
  <c r="Z205" i="16"/>
  <c r="AF205" i="16"/>
  <c r="Z206" i="16"/>
  <c r="AF206" i="16"/>
  <c r="Z207" i="16"/>
  <c r="AF207" i="16"/>
  <c r="Z208" i="16"/>
  <c r="AF208" i="16"/>
  <c r="Z209" i="16"/>
  <c r="AF209" i="16"/>
  <c r="Z210" i="16"/>
  <c r="AF210" i="16"/>
  <c r="Z211" i="16"/>
  <c r="AF211" i="16"/>
  <c r="Z212" i="16"/>
  <c r="AF212" i="16"/>
  <c r="Z213" i="16"/>
  <c r="AF213" i="16"/>
  <c r="Z214" i="16"/>
  <c r="AF214" i="16"/>
  <c r="Z215" i="16"/>
  <c r="AF215" i="16"/>
  <c r="Z216" i="16"/>
  <c r="AF216" i="16"/>
  <c r="Z217" i="16"/>
  <c r="AF217" i="16"/>
  <c r="Z218" i="16"/>
  <c r="AF218" i="16"/>
  <c r="Z219" i="16"/>
  <c r="AF219" i="16"/>
  <c r="Z220" i="16"/>
  <c r="AF220" i="16"/>
  <c r="Z221" i="16"/>
  <c r="AF221" i="16"/>
  <c r="Z222" i="16"/>
  <c r="AF222" i="16"/>
  <c r="Z223" i="16"/>
  <c r="AF223" i="16"/>
  <c r="Z224" i="16"/>
  <c r="AF224" i="16"/>
  <c r="Z225" i="16"/>
  <c r="AF225" i="16"/>
  <c r="Z226" i="16"/>
  <c r="AF226" i="16"/>
  <c r="Z227" i="16"/>
  <c r="AF227" i="16"/>
  <c r="Z228" i="16"/>
  <c r="AF228" i="16"/>
  <c r="Z229" i="16"/>
  <c r="AF229" i="16"/>
  <c r="Z230" i="16"/>
  <c r="AF230" i="16"/>
  <c r="Z231" i="16"/>
  <c r="AF231" i="16"/>
  <c r="Z232" i="16"/>
  <c r="AF232" i="16"/>
  <c r="Z233" i="16"/>
  <c r="AF233" i="16"/>
  <c r="Z234" i="16"/>
  <c r="AF234" i="16"/>
  <c r="Z235" i="16"/>
  <c r="AF235" i="16"/>
  <c r="Z236" i="16"/>
  <c r="AF236" i="16"/>
  <c r="Z237" i="16"/>
  <c r="AF237" i="16"/>
  <c r="Z238" i="16"/>
  <c r="AF238" i="16"/>
  <c r="Z239" i="16"/>
  <c r="AF239" i="16"/>
  <c r="Z240" i="16"/>
  <c r="AF240" i="16"/>
  <c r="Z241" i="16"/>
  <c r="AF241" i="16"/>
  <c r="D7" i="25"/>
  <c r="R7" i="25"/>
  <c r="S7" i="25"/>
  <c r="V7" i="25"/>
  <c r="W7" i="25"/>
  <c r="X7" i="25"/>
  <c r="D9" i="25"/>
  <c r="R9" i="25"/>
  <c r="S9" i="25"/>
  <c r="V9" i="25"/>
  <c r="W9" i="25"/>
  <c r="X9" i="25"/>
  <c r="D11" i="25"/>
  <c r="R11" i="25"/>
  <c r="S11" i="25"/>
  <c r="V11" i="25"/>
  <c r="W11" i="25"/>
  <c r="X11" i="25"/>
  <c r="D13" i="25"/>
  <c r="R13" i="25"/>
  <c r="S13" i="25"/>
  <c r="V13" i="25"/>
  <c r="W13" i="25"/>
  <c r="X13" i="25"/>
  <c r="D14" i="25"/>
  <c r="R14" i="25"/>
  <c r="S14" i="25"/>
  <c r="V14" i="25"/>
  <c r="W14" i="25"/>
  <c r="X14" i="25"/>
  <c r="D15" i="25"/>
  <c r="R15" i="25"/>
  <c r="S15" i="25"/>
  <c r="V15" i="25"/>
  <c r="W15" i="25"/>
  <c r="X15" i="25"/>
  <c r="Z2" i="17"/>
  <c r="AE2" i="17"/>
  <c r="Z3" i="17"/>
  <c r="AE3" i="17"/>
  <c r="Z4" i="17"/>
  <c r="AE4" i="17"/>
  <c r="Z5" i="17"/>
  <c r="AE5" i="17"/>
  <c r="AJ5" i="17"/>
  <c r="Z6" i="17"/>
  <c r="AE6" i="17"/>
  <c r="AJ6" i="17"/>
  <c r="Z7" i="17"/>
  <c r="AE7" i="17"/>
  <c r="Z8" i="17"/>
  <c r="AE8" i="17"/>
  <c r="AJ8" i="17"/>
  <c r="Z9" i="17"/>
  <c r="AE9" i="17"/>
  <c r="Z10" i="17"/>
  <c r="AE10" i="17"/>
  <c r="Z11" i="17"/>
  <c r="AE11" i="17"/>
  <c r="Z12" i="17"/>
  <c r="AE12" i="17"/>
  <c r="Z13" i="17"/>
  <c r="AE13" i="17"/>
  <c r="Z14" i="17"/>
  <c r="AE14" i="17"/>
  <c r="Z15" i="17"/>
  <c r="AE15" i="17"/>
  <c r="Z16" i="17"/>
  <c r="AE16" i="17"/>
  <c r="Z17" i="17"/>
  <c r="AE17" i="17"/>
  <c r="Z18" i="17"/>
  <c r="AE18" i="17"/>
  <c r="Z19" i="17"/>
  <c r="AE19" i="17"/>
  <c r="Z20" i="17"/>
  <c r="AE20" i="17"/>
  <c r="Z21" i="17"/>
  <c r="AE21" i="17"/>
  <c r="Z22" i="17"/>
  <c r="AE22" i="17"/>
  <c r="Z23" i="17"/>
  <c r="AE23" i="17"/>
  <c r="Z24" i="17"/>
  <c r="AE24" i="17"/>
  <c r="Z25" i="17"/>
  <c r="AE25" i="17"/>
  <c r="Z26" i="17"/>
  <c r="AE26" i="17"/>
  <c r="Z27" i="17"/>
  <c r="AE27" i="17"/>
  <c r="Z28" i="17"/>
  <c r="AE28" i="17"/>
  <c r="Z29" i="17"/>
  <c r="AE29" i="17"/>
  <c r="Z30" i="17"/>
  <c r="AE30" i="17"/>
  <c r="Z31" i="17"/>
  <c r="AE31" i="17"/>
  <c r="Z32" i="17"/>
  <c r="AE32" i="17"/>
  <c r="Z33" i="17"/>
  <c r="AE33" i="17"/>
  <c r="Z34" i="17"/>
  <c r="AE34" i="17"/>
  <c r="Z35" i="17"/>
  <c r="AE35" i="17"/>
  <c r="Z36" i="17"/>
  <c r="AE36" i="17"/>
  <c r="Z37" i="17"/>
  <c r="AE37" i="17"/>
  <c r="Z38" i="17"/>
  <c r="AE38" i="17"/>
  <c r="Z39" i="17"/>
  <c r="AE39" i="17"/>
  <c r="Z40" i="17"/>
  <c r="AE40" i="17"/>
  <c r="Z41" i="17"/>
  <c r="AE41" i="17"/>
  <c r="Z42" i="17"/>
  <c r="AE42" i="17"/>
  <c r="Z43" i="17"/>
  <c r="AE43" i="17"/>
  <c r="Z44" i="17"/>
  <c r="AE44" i="17"/>
  <c r="Z45" i="17"/>
  <c r="AE45" i="17"/>
  <c r="Z46" i="17"/>
  <c r="AE46" i="17"/>
  <c r="Z47" i="17"/>
  <c r="AE47" i="17"/>
  <c r="Z48" i="17"/>
  <c r="AE48" i="17"/>
  <c r="Z49" i="17"/>
  <c r="AE49" i="17"/>
  <c r="Z50" i="17"/>
  <c r="AE50" i="17"/>
  <c r="Z51" i="17"/>
  <c r="AE51" i="17"/>
  <c r="Z52" i="17"/>
  <c r="AE52" i="17"/>
  <c r="Z53" i="17"/>
  <c r="AE53" i="17"/>
  <c r="Z54" i="17"/>
  <c r="AE54" i="17"/>
  <c r="Z55" i="17"/>
  <c r="AE55" i="17"/>
  <c r="Z56" i="17"/>
  <c r="AE56" i="17"/>
  <c r="Z57" i="17"/>
  <c r="AE57" i="17"/>
  <c r="Z58" i="17"/>
  <c r="AE58" i="17"/>
  <c r="Z59" i="17"/>
  <c r="AE59" i="17"/>
  <c r="Z60" i="17"/>
  <c r="AE60" i="17"/>
  <c r="Z61" i="17"/>
  <c r="AE61" i="17"/>
  <c r="Z62" i="17"/>
  <c r="AE62" i="17"/>
  <c r="Z63" i="17"/>
  <c r="AE63" i="17"/>
  <c r="Z64" i="17"/>
  <c r="AE64" i="17"/>
  <c r="Z65" i="17"/>
  <c r="AE65" i="17"/>
  <c r="Z66" i="17"/>
  <c r="AE66" i="17"/>
  <c r="Z67" i="17"/>
  <c r="AE67" i="17"/>
  <c r="Z68" i="17"/>
  <c r="AE68" i="17"/>
  <c r="Z69" i="17"/>
  <c r="AE69" i="17"/>
  <c r="Z70" i="17"/>
  <c r="AE70" i="17"/>
  <c r="Z71" i="17"/>
  <c r="AE71" i="17"/>
  <c r="Z72" i="17"/>
  <c r="AE72" i="17"/>
  <c r="Z73" i="17"/>
  <c r="AE73" i="17"/>
  <c r="Z74" i="17"/>
  <c r="AE74" i="17"/>
  <c r="Z75" i="17"/>
  <c r="AE75" i="17"/>
  <c r="Z76" i="17"/>
  <c r="AE76" i="17"/>
  <c r="Z77" i="17"/>
  <c r="AE77" i="17"/>
  <c r="Z78" i="17"/>
  <c r="AE78" i="17"/>
  <c r="Z79" i="17"/>
  <c r="AE79" i="17"/>
  <c r="Z80" i="17"/>
  <c r="AE80" i="17"/>
  <c r="Z81" i="17"/>
  <c r="AE81" i="17"/>
  <c r="E5" i="28"/>
  <c r="F5" i="28"/>
  <c r="H5" i="28"/>
  <c r="I5" i="28"/>
  <c r="R5" i="28"/>
  <c r="U5" i="28"/>
  <c r="E6" i="28"/>
  <c r="F6" i="28"/>
  <c r="H6" i="28"/>
  <c r="I6" i="28"/>
  <c r="R6" i="28"/>
  <c r="U6" i="28"/>
  <c r="E7" i="28"/>
  <c r="F7" i="28"/>
  <c r="H7" i="28"/>
  <c r="I7" i="28"/>
  <c r="R7" i="28"/>
  <c r="U7" i="28"/>
  <c r="E8" i="28"/>
  <c r="F8" i="28"/>
  <c r="H8" i="28"/>
  <c r="I8" i="28"/>
  <c r="R8" i="28"/>
  <c r="U8" i="28"/>
  <c r="E9" i="28"/>
  <c r="H9" i="28"/>
  <c r="R9" i="28"/>
  <c r="U9" i="28"/>
  <c r="F10" i="28"/>
  <c r="I10" i="28"/>
  <c r="R10" i="28"/>
  <c r="U10" i="28"/>
  <c r="F11" i="28"/>
  <c r="I11" i="28"/>
  <c r="R11" i="28"/>
  <c r="U11" i="28"/>
  <c r="E12" i="28"/>
  <c r="H12" i="28"/>
  <c r="R12" i="28"/>
  <c r="U12" i="28"/>
  <c r="F13" i="28"/>
  <c r="I13" i="28"/>
  <c r="R13" i="28"/>
  <c r="U13" i="28"/>
  <c r="F14" i="28"/>
  <c r="I14" i="28"/>
  <c r="R14" i="28"/>
  <c r="U14" i="28"/>
  <c r="E15" i="28"/>
  <c r="H15" i="28"/>
  <c r="R15" i="28"/>
  <c r="U15" i="28"/>
  <c r="R16" i="28"/>
  <c r="U16" i="28"/>
  <c r="R17" i="28"/>
  <c r="U17" i="28"/>
  <c r="R18" i="28"/>
  <c r="U18" i="28"/>
  <c r="R19" i="28"/>
  <c r="U19" i="28"/>
  <c r="R20" i="28"/>
  <c r="U20" i="28"/>
  <c r="R21" i="28"/>
  <c r="U21" i="28"/>
  <c r="R22" i="28"/>
  <c r="U22" i="28"/>
  <c r="R23" i="28"/>
  <c r="U23" i="28"/>
  <c r="R24" i="28"/>
  <c r="U24" i="28"/>
  <c r="R25" i="28"/>
  <c r="U25" i="28"/>
  <c r="R26" i="28"/>
  <c r="U26" i="28"/>
  <c r="R27" i="28"/>
  <c r="U27" i="28"/>
  <c r="R28" i="28"/>
  <c r="U28" i="28"/>
  <c r="R29" i="28"/>
  <c r="U29" i="28"/>
  <c r="R30" i="28"/>
  <c r="U30" i="28"/>
  <c r="R31" i="28"/>
  <c r="U31" i="28"/>
  <c r="R32" i="28"/>
  <c r="U32" i="28"/>
  <c r="R33" i="28"/>
  <c r="U33" i="28"/>
  <c r="Q34" i="28"/>
  <c r="T34" i="28"/>
  <c r="Q35" i="28"/>
  <c r="T35" i="28"/>
  <c r="N7" i="6"/>
  <c r="AJ7" i="6"/>
  <c r="AK7" i="6"/>
  <c r="N8" i="6"/>
  <c r="AJ8" i="6"/>
  <c r="AK8" i="6"/>
  <c r="N11" i="6"/>
  <c r="AJ11" i="6"/>
  <c r="AK11" i="6"/>
  <c r="N12" i="6"/>
  <c r="AJ12" i="6"/>
  <c r="AK12" i="6"/>
  <c r="N13" i="6"/>
  <c r="AJ13" i="6"/>
  <c r="AK13" i="6"/>
  <c r="N14" i="6"/>
  <c r="AJ14" i="6"/>
  <c r="AK14" i="6"/>
  <c r="N17" i="6"/>
  <c r="AJ17" i="6"/>
  <c r="AK17" i="6"/>
  <c r="N18" i="6"/>
  <c r="AJ18" i="6"/>
  <c r="AK18" i="6"/>
  <c r="N19" i="6"/>
  <c r="AJ19" i="6"/>
  <c r="AK19" i="6"/>
  <c r="N20" i="6"/>
  <c r="AJ20" i="6"/>
  <c r="AK20" i="6"/>
  <c r="N21" i="6"/>
  <c r="AJ21" i="6"/>
  <c r="AK21" i="6"/>
  <c r="N22" i="6"/>
  <c r="AJ22" i="6"/>
  <c r="AK22" i="6"/>
  <c r="N23" i="6"/>
  <c r="AJ23" i="6"/>
  <c r="AK23" i="6"/>
  <c r="N24" i="6"/>
  <c r="AJ24" i="6"/>
  <c r="AK24" i="6"/>
  <c r="N25" i="6"/>
  <c r="AJ25" i="6"/>
  <c r="AK25" i="6"/>
  <c r="N26" i="6"/>
  <c r="AJ26" i="6"/>
  <c r="AK26" i="6"/>
  <c r="N27" i="6"/>
  <c r="AJ27" i="6"/>
  <c r="AK27" i="6"/>
  <c r="N28" i="6"/>
  <c r="AJ28" i="6"/>
  <c r="AK28" i="6"/>
  <c r="N29" i="6"/>
  <c r="AJ29" i="6"/>
  <c r="AK29" i="6"/>
  <c r="N30" i="6"/>
  <c r="AJ30" i="6"/>
  <c r="AK30" i="6"/>
  <c r="N31" i="6"/>
  <c r="AJ31" i="6"/>
  <c r="AK31" i="6"/>
  <c r="N32" i="6"/>
  <c r="AJ32" i="6"/>
  <c r="AK32" i="6"/>
  <c r="N33" i="6"/>
  <c r="AJ33" i="6"/>
  <c r="AK33" i="6"/>
  <c r="N34" i="6"/>
  <c r="AJ34" i="6"/>
  <c r="AK34" i="6"/>
  <c r="N35" i="6"/>
  <c r="AJ35" i="6"/>
  <c r="AK35" i="6"/>
  <c r="N36" i="6"/>
  <c r="AJ36" i="6"/>
  <c r="AK36" i="6"/>
  <c r="N37" i="6"/>
  <c r="AJ37" i="6"/>
  <c r="AK37" i="6"/>
  <c r="N38" i="6"/>
  <c r="AJ38" i="6"/>
  <c r="AK38" i="6"/>
  <c r="N39" i="6"/>
  <c r="AJ39" i="6"/>
  <c r="AK39" i="6"/>
  <c r="N40" i="6"/>
  <c r="AJ40" i="6"/>
  <c r="AK40" i="6"/>
  <c r="N41" i="6"/>
  <c r="AJ41" i="6"/>
  <c r="AK41" i="6"/>
  <c r="N42" i="6"/>
  <c r="AJ42" i="6"/>
  <c r="AK42" i="6"/>
  <c r="N43" i="6"/>
  <c r="AJ43" i="6"/>
  <c r="AK43" i="6"/>
  <c r="N44" i="6"/>
  <c r="AJ44" i="6"/>
  <c r="AK44" i="6"/>
  <c r="N45" i="6"/>
  <c r="AJ45" i="6"/>
  <c r="AK45" i="6"/>
  <c r="N46" i="6"/>
  <c r="AJ46" i="6"/>
  <c r="AK46" i="6"/>
  <c r="N47" i="6"/>
  <c r="AJ47" i="6"/>
  <c r="AK47" i="6"/>
  <c r="N48" i="6"/>
  <c r="AJ48" i="6"/>
  <c r="AK48" i="6"/>
  <c r="N49" i="6"/>
  <c r="AJ49" i="6"/>
  <c r="AK49" i="6"/>
  <c r="N50" i="6"/>
  <c r="AJ50" i="6"/>
  <c r="AK50" i="6"/>
  <c r="N51" i="6"/>
  <c r="AJ51" i="6"/>
  <c r="AK51" i="6"/>
  <c r="N55" i="6"/>
  <c r="AJ55" i="6"/>
  <c r="AK55" i="6"/>
  <c r="N60" i="6"/>
  <c r="AJ60" i="6"/>
  <c r="AK60" i="6"/>
  <c r="L63" i="6"/>
  <c r="N63" i="6"/>
  <c r="L64" i="6"/>
  <c r="N64" i="6"/>
  <c r="N65" i="6"/>
  <c r="L66" i="6"/>
  <c r="L67" i="6"/>
  <c r="L68" i="6"/>
  <c r="L69" i="6"/>
  <c r="L70" i="6"/>
  <c r="N5" i="23"/>
  <c r="AB5" i="23"/>
  <c r="AC5" i="23"/>
  <c r="AF5" i="23"/>
  <c r="AG5" i="23"/>
  <c r="N6" i="23"/>
  <c r="AB6" i="23"/>
  <c r="AC6" i="23"/>
  <c r="AF6" i="23"/>
  <c r="AG6" i="23"/>
  <c r="N7" i="23"/>
  <c r="AB7" i="23"/>
  <c r="AC7" i="23"/>
  <c r="AF7" i="23"/>
  <c r="AG7" i="23"/>
  <c r="N8" i="23"/>
  <c r="AB8" i="23"/>
  <c r="AC8" i="23"/>
  <c r="AF8" i="23"/>
  <c r="AG8" i="23"/>
  <c r="N9" i="23"/>
  <c r="AB9" i="23"/>
  <c r="AC9" i="23"/>
  <c r="AF9" i="23"/>
  <c r="AG9" i="23"/>
  <c r="N10" i="23"/>
  <c r="AB10" i="23"/>
  <c r="AC10" i="23"/>
  <c r="AF10" i="23"/>
  <c r="AG10" i="23"/>
  <c r="N11" i="23"/>
  <c r="AB11" i="23"/>
  <c r="AC11" i="23"/>
  <c r="AF11" i="23"/>
  <c r="AG11" i="23"/>
  <c r="N12" i="23"/>
  <c r="AB12" i="23"/>
  <c r="AC12" i="23"/>
  <c r="AF12" i="23"/>
  <c r="AG12" i="23"/>
  <c r="N13" i="23"/>
  <c r="AB13" i="23"/>
  <c r="AC13" i="23"/>
  <c r="AF13" i="23"/>
  <c r="AG13" i="23"/>
  <c r="N14" i="23"/>
  <c r="AB14" i="23"/>
  <c r="AC14" i="23"/>
  <c r="AF14" i="23"/>
  <c r="AG14" i="23"/>
  <c r="N15" i="23"/>
  <c r="AB15" i="23"/>
  <c r="AC15" i="23"/>
  <c r="AF15" i="23"/>
  <c r="AG15" i="23"/>
  <c r="N16" i="23"/>
  <c r="AB16" i="23"/>
  <c r="AC16" i="23"/>
  <c r="AF16" i="23"/>
  <c r="AG16" i="23"/>
  <c r="N17" i="23"/>
  <c r="AB17" i="23"/>
  <c r="AC17" i="23"/>
  <c r="AF17" i="23"/>
  <c r="AG17" i="23"/>
  <c r="N18" i="23"/>
  <c r="AB18" i="23"/>
  <c r="AC18" i="23"/>
  <c r="AF18" i="23"/>
  <c r="AG18" i="23"/>
  <c r="N19" i="23"/>
  <c r="AB19" i="23"/>
  <c r="AC19" i="23"/>
  <c r="AF19" i="23"/>
  <c r="AG19" i="23"/>
  <c r="N20" i="23"/>
  <c r="AB20" i="23"/>
  <c r="AC20" i="23"/>
  <c r="AF20" i="23"/>
  <c r="AG20" i="23"/>
  <c r="N21" i="23"/>
  <c r="AB21" i="23"/>
  <c r="AC21" i="23"/>
  <c r="AF21" i="23"/>
  <c r="AG21" i="23"/>
  <c r="N22" i="23"/>
  <c r="AB22" i="23"/>
  <c r="AC22" i="23"/>
  <c r="AF22" i="23"/>
  <c r="AG22" i="23"/>
  <c r="N23" i="23"/>
  <c r="AB23" i="23"/>
  <c r="AC23" i="23"/>
  <c r="AF23" i="23"/>
  <c r="AG23" i="23"/>
  <c r="N24" i="23"/>
  <c r="AB24" i="23"/>
  <c r="AC24" i="23"/>
  <c r="AF24" i="23"/>
  <c r="AG24" i="23"/>
  <c r="N25" i="23"/>
  <c r="AB25" i="23"/>
  <c r="AC25" i="23"/>
  <c r="AF25" i="23"/>
  <c r="AG25" i="23"/>
  <c r="N26" i="23"/>
  <c r="AB26" i="23"/>
  <c r="AC26" i="23"/>
  <c r="AF26" i="23"/>
  <c r="AG26" i="23"/>
  <c r="N27" i="23"/>
  <c r="AB27" i="23"/>
  <c r="AC27" i="23"/>
  <c r="AF27" i="23"/>
  <c r="AG27" i="23"/>
  <c r="N28" i="23"/>
  <c r="AB28" i="23"/>
  <c r="AC28" i="23"/>
  <c r="AF28" i="23"/>
  <c r="AG28" i="23"/>
  <c r="N29" i="23"/>
  <c r="AB29" i="23"/>
  <c r="AC29" i="23"/>
  <c r="AF29" i="23"/>
  <c r="AG29" i="23"/>
  <c r="N30" i="23"/>
  <c r="AB30" i="23"/>
  <c r="AC30" i="23"/>
  <c r="AF30" i="23"/>
  <c r="AG30" i="23"/>
  <c r="N31" i="23"/>
  <c r="AB31" i="23"/>
  <c r="AC31" i="23"/>
  <c r="AF31" i="23"/>
  <c r="AG31" i="23"/>
  <c r="N32" i="23"/>
  <c r="AB32" i="23"/>
  <c r="AC32" i="23"/>
  <c r="AF32" i="23"/>
  <c r="AG32" i="23"/>
  <c r="N33" i="23"/>
  <c r="AB33" i="23"/>
  <c r="AC33" i="23"/>
  <c r="AF33" i="23"/>
  <c r="AG33" i="23"/>
  <c r="N34" i="23"/>
  <c r="AB34" i="23"/>
  <c r="AC34" i="23"/>
  <c r="AF34" i="23"/>
  <c r="AG34" i="23"/>
  <c r="N35" i="23"/>
  <c r="AB35" i="23"/>
  <c r="AC35" i="23"/>
  <c r="AF35" i="23"/>
  <c r="AG35" i="23"/>
  <c r="N36" i="23"/>
  <c r="AB36" i="23"/>
  <c r="AC36" i="23"/>
  <c r="AF36" i="23"/>
  <c r="AG36" i="23"/>
  <c r="N37" i="23"/>
  <c r="AB37" i="23"/>
  <c r="AC37" i="23"/>
  <c r="AF37" i="23"/>
  <c r="AG37" i="23"/>
  <c r="N38" i="23"/>
  <c r="AB38" i="23"/>
  <c r="AC38" i="23"/>
  <c r="AF38" i="23"/>
  <c r="AG38" i="23"/>
  <c r="N39" i="23"/>
  <c r="AB39" i="23"/>
  <c r="AC39" i="23"/>
  <c r="AF39" i="23"/>
  <c r="AG39" i="23"/>
  <c r="N40" i="23"/>
  <c r="AB40" i="23"/>
  <c r="AC40" i="23"/>
  <c r="AF40" i="23"/>
  <c r="AG40" i="23"/>
  <c r="N41" i="23"/>
  <c r="AB41" i="23"/>
  <c r="AC41" i="23"/>
  <c r="AF41" i="23"/>
  <c r="AG41" i="23"/>
  <c r="N42" i="23"/>
  <c r="AB42" i="23"/>
  <c r="AC42" i="23"/>
  <c r="AF42" i="23"/>
  <c r="AG42" i="23"/>
  <c r="N43" i="23"/>
  <c r="AB43" i="23"/>
  <c r="AC43" i="23"/>
  <c r="AF43" i="23"/>
  <c r="AG43" i="23"/>
  <c r="N44" i="23"/>
  <c r="AB44" i="23"/>
  <c r="AC44" i="23"/>
  <c r="AF44" i="23"/>
  <c r="AG44" i="23"/>
  <c r="N45" i="23"/>
  <c r="AB45" i="23"/>
  <c r="AC45" i="23"/>
  <c r="AF45" i="23"/>
  <c r="AG45" i="23"/>
  <c r="N46" i="23"/>
  <c r="AB46" i="23"/>
  <c r="AC46" i="23"/>
  <c r="AF46" i="23"/>
  <c r="AG46" i="23"/>
  <c r="N47" i="23"/>
  <c r="AB47" i="23"/>
  <c r="AC47" i="23"/>
  <c r="AF47" i="23"/>
  <c r="AG47" i="23"/>
  <c r="N48" i="23"/>
  <c r="AB48" i="23"/>
  <c r="AC48" i="23"/>
  <c r="AF48" i="23"/>
  <c r="AG48" i="23"/>
  <c r="N49" i="23"/>
  <c r="AB49" i="23"/>
  <c r="AC49" i="23"/>
  <c r="AF49" i="23"/>
  <c r="AG49" i="23"/>
  <c r="N50" i="23"/>
  <c r="AB50" i="23"/>
  <c r="AC50" i="23"/>
  <c r="AF50" i="23"/>
  <c r="AG50" i="23"/>
  <c r="N51" i="23"/>
  <c r="AB51" i="23"/>
  <c r="AC51" i="23"/>
  <c r="AF51" i="23"/>
  <c r="AG51" i="23"/>
  <c r="N57" i="23"/>
  <c r="AB57" i="23"/>
  <c r="AC57" i="23"/>
  <c r="AF57" i="23"/>
  <c r="AG57" i="23"/>
  <c r="N58" i="23"/>
  <c r="AB58" i="23"/>
  <c r="AC58" i="23"/>
  <c r="AF58" i="23"/>
  <c r="AG58" i="23"/>
  <c r="N59" i="23"/>
  <c r="AB59" i="23"/>
  <c r="AC59" i="23"/>
  <c r="AF59" i="23"/>
  <c r="AG59" i="23"/>
  <c r="N60" i="23"/>
  <c r="AB60" i="23"/>
  <c r="AC60" i="23"/>
  <c r="AF60" i="23"/>
  <c r="AG60" i="23"/>
  <c r="N61" i="23"/>
  <c r="AB61" i="23"/>
  <c r="AC61" i="23"/>
  <c r="AF61" i="23"/>
  <c r="AG61" i="23"/>
  <c r="N62" i="23"/>
  <c r="AB62" i="23"/>
  <c r="AC62" i="23"/>
  <c r="AF62" i="23"/>
  <c r="AG62" i="23"/>
  <c r="N63" i="23"/>
  <c r="AB63" i="23"/>
  <c r="AC63" i="23"/>
  <c r="AF63" i="23"/>
  <c r="AG63" i="23"/>
  <c r="N64" i="23"/>
  <c r="AB64" i="23"/>
  <c r="AC64" i="23"/>
  <c r="AF64" i="23"/>
  <c r="AG64" i="23"/>
  <c r="N65" i="23"/>
  <c r="AB65" i="23"/>
  <c r="AC65" i="23"/>
  <c r="AF65" i="23"/>
  <c r="AG65" i="23"/>
  <c r="N66" i="23"/>
  <c r="AB66" i="23"/>
  <c r="AC66" i="23"/>
  <c r="AF66" i="23"/>
  <c r="AG66" i="23"/>
  <c r="N67" i="23"/>
  <c r="AB67" i="23"/>
  <c r="AC67" i="23"/>
  <c r="AF67" i="23"/>
  <c r="AG67" i="23"/>
  <c r="N68" i="23"/>
  <c r="AB68" i="23"/>
  <c r="AC68" i="23"/>
  <c r="AF68" i="23"/>
  <c r="AG68" i="23"/>
  <c r="N69" i="23"/>
  <c r="AB69" i="23"/>
  <c r="AC69" i="23"/>
  <c r="AF69" i="23"/>
  <c r="AG69" i="23"/>
  <c r="N70" i="23"/>
  <c r="AB70" i="23"/>
  <c r="AC70" i="23"/>
  <c r="AF70" i="23"/>
  <c r="AG70" i="23"/>
  <c r="N71" i="23"/>
  <c r="AB71" i="23"/>
  <c r="AC71" i="23"/>
  <c r="AF71" i="23"/>
  <c r="AG71" i="23"/>
  <c r="N72" i="23"/>
  <c r="AB72" i="23"/>
  <c r="AC72" i="23"/>
  <c r="AF72" i="23"/>
  <c r="AG72" i="23"/>
  <c r="N73" i="23"/>
  <c r="AB73" i="23"/>
  <c r="AC73" i="23"/>
  <c r="AF73" i="23"/>
  <c r="AG73" i="23"/>
  <c r="N74" i="23"/>
  <c r="AB74" i="23"/>
  <c r="AC74" i="23"/>
  <c r="AF74" i="23"/>
  <c r="AG74" i="23"/>
  <c r="N75" i="23"/>
  <c r="AB75" i="23"/>
  <c r="AC75" i="23"/>
  <c r="AF75" i="23"/>
  <c r="AG75" i="23"/>
  <c r="N76" i="23"/>
  <c r="AB76" i="23"/>
  <c r="AC76" i="23"/>
  <c r="AF76" i="23"/>
  <c r="AG76" i="23"/>
  <c r="N77" i="23"/>
  <c r="AB77" i="23"/>
  <c r="AC77" i="23"/>
  <c r="AF77" i="23"/>
  <c r="AG77" i="23"/>
  <c r="N78" i="23"/>
  <c r="AB78" i="23"/>
  <c r="AC78" i="23"/>
  <c r="AF78" i="23"/>
  <c r="AG78" i="23"/>
  <c r="N79" i="23"/>
  <c r="AB79" i="23"/>
  <c r="AC79" i="23"/>
  <c r="AF79" i="23"/>
  <c r="AG79" i="23"/>
  <c r="N80" i="23"/>
  <c r="AB80" i="23"/>
  <c r="AC80" i="23"/>
  <c r="AF80" i="23"/>
  <c r="AG80" i="23"/>
  <c r="N81" i="23"/>
  <c r="AB81" i="23"/>
  <c r="AC81" i="23"/>
  <c r="AF81" i="23"/>
  <c r="AG81" i="23"/>
  <c r="N82" i="23"/>
  <c r="AB82" i="23"/>
  <c r="AC82" i="23"/>
  <c r="AF82" i="23"/>
  <c r="AG82" i="23"/>
  <c r="N83" i="23"/>
  <c r="AB83" i="23"/>
  <c r="AC83" i="23"/>
  <c r="AF83" i="23"/>
  <c r="AG83" i="23"/>
  <c r="N84" i="23"/>
  <c r="AB84" i="23"/>
  <c r="AC84" i="23"/>
  <c r="AF84" i="23"/>
  <c r="AG84" i="23"/>
  <c r="N85" i="23"/>
  <c r="AB85" i="23"/>
  <c r="AC85" i="23"/>
  <c r="AF85" i="23"/>
  <c r="AG85" i="23"/>
  <c r="N86" i="23"/>
  <c r="AB86" i="23"/>
  <c r="AC86" i="23"/>
  <c r="AF86" i="23"/>
  <c r="AG86" i="23"/>
  <c r="N87" i="23"/>
  <c r="AB87" i="23"/>
  <c r="AC87" i="23"/>
  <c r="AF87" i="23"/>
  <c r="AG87" i="23"/>
  <c r="N88" i="23"/>
  <c r="AB88" i="23"/>
  <c r="AC88" i="23"/>
  <c r="AF88" i="23"/>
  <c r="AG88" i="23"/>
  <c r="N89" i="23"/>
  <c r="AB89" i="23"/>
  <c r="AC89" i="23"/>
  <c r="AF89" i="23"/>
  <c r="AG89" i="23"/>
  <c r="N90" i="23"/>
  <c r="AB90" i="23"/>
  <c r="AC90" i="23"/>
  <c r="AF90" i="23"/>
  <c r="AG90" i="23"/>
  <c r="N91" i="23"/>
  <c r="AB91" i="23"/>
  <c r="AC91" i="23"/>
  <c r="AF91" i="23"/>
  <c r="AG91" i="23"/>
  <c r="N92" i="23"/>
  <c r="AB92" i="23"/>
  <c r="AC92" i="23"/>
  <c r="AF92" i="23"/>
  <c r="AG92" i="23"/>
  <c r="N93" i="23"/>
  <c r="AB93" i="23"/>
  <c r="AC93" i="23"/>
  <c r="AF93" i="23"/>
  <c r="AG93" i="23"/>
  <c r="N94" i="23"/>
  <c r="AB94" i="23"/>
  <c r="AC94" i="23"/>
  <c r="AF94" i="23"/>
  <c r="AG94" i="23"/>
  <c r="N95" i="23"/>
  <c r="AB95" i="23"/>
  <c r="AC95" i="23"/>
  <c r="AF95" i="23"/>
  <c r="AG95" i="23"/>
  <c r="N96" i="23"/>
  <c r="AB96" i="23"/>
  <c r="AC96" i="23"/>
  <c r="AF96" i="23"/>
  <c r="AG96" i="23"/>
  <c r="N97" i="23"/>
  <c r="AB97" i="23"/>
  <c r="AC97" i="23"/>
  <c r="AF97" i="23"/>
  <c r="AG97" i="23"/>
  <c r="N98" i="23"/>
  <c r="AB98" i="23"/>
  <c r="AC98" i="23"/>
  <c r="AF98" i="23"/>
  <c r="AG98" i="23"/>
  <c r="N99" i="23"/>
  <c r="AB99" i="23"/>
  <c r="AC99" i="23"/>
  <c r="AF99" i="23"/>
  <c r="AG99" i="23"/>
  <c r="N100" i="23"/>
  <c r="AB100" i="23"/>
  <c r="AC100" i="23"/>
  <c r="AF100" i="23"/>
  <c r="AG100" i="23"/>
  <c r="N101" i="23"/>
  <c r="AB101" i="23"/>
  <c r="AC101" i="23"/>
  <c r="AF101" i="23"/>
  <c r="AG101" i="23"/>
  <c r="N102" i="23"/>
  <c r="AB102" i="23"/>
  <c r="AC102" i="23"/>
  <c r="AF102" i="23"/>
  <c r="AG102" i="23"/>
  <c r="N103" i="23"/>
  <c r="AB103" i="23"/>
  <c r="AC103" i="23"/>
  <c r="AF103" i="23"/>
  <c r="AG103" i="23"/>
  <c r="N5" i="7"/>
  <c r="T5" i="7"/>
  <c r="AJ5" i="7"/>
  <c r="AK5" i="7"/>
  <c r="AL5" i="7"/>
  <c r="AM5" i="7"/>
  <c r="N6" i="7"/>
  <c r="T6" i="7"/>
  <c r="AJ6" i="7"/>
  <c r="AK6" i="7"/>
  <c r="AL6" i="7"/>
  <c r="AM6" i="7"/>
  <c r="N7" i="7"/>
  <c r="T7" i="7"/>
  <c r="AJ7" i="7"/>
  <c r="AK7" i="7"/>
  <c r="AL7" i="7"/>
  <c r="AM7" i="7"/>
  <c r="N8" i="7"/>
  <c r="T8" i="7"/>
  <c r="AJ8" i="7"/>
  <c r="AK8" i="7"/>
  <c r="AL8" i="7"/>
  <c r="AM8" i="7"/>
  <c r="N9" i="7"/>
  <c r="T9" i="7"/>
  <c r="AJ9" i="7"/>
  <c r="AK9" i="7"/>
  <c r="AL9" i="7"/>
  <c r="AM9" i="7"/>
  <c r="N10" i="7"/>
  <c r="T10" i="7"/>
  <c r="AJ10" i="7"/>
  <c r="AK10" i="7"/>
  <c r="AL10" i="7"/>
  <c r="AM10" i="7"/>
  <c r="N11" i="7"/>
  <c r="T11" i="7"/>
  <c r="AJ11" i="7"/>
  <c r="AK11" i="7"/>
  <c r="AL11" i="7"/>
  <c r="AM11" i="7"/>
  <c r="N12" i="7"/>
  <c r="T12" i="7"/>
  <c r="AJ12" i="7"/>
  <c r="AK12" i="7"/>
  <c r="AL12" i="7"/>
  <c r="AM12" i="7"/>
  <c r="N13" i="7"/>
  <c r="T13" i="7"/>
  <c r="AJ13" i="7"/>
  <c r="AK13" i="7"/>
  <c r="AL13" i="7"/>
  <c r="AM13" i="7"/>
  <c r="N14" i="7"/>
  <c r="T14" i="7"/>
  <c r="AJ14" i="7"/>
  <c r="AK14" i="7"/>
  <c r="AL14" i="7"/>
  <c r="AM14" i="7"/>
  <c r="N15" i="7"/>
  <c r="T15" i="7"/>
  <c r="AJ15" i="7"/>
  <c r="AK15" i="7"/>
  <c r="AL15" i="7"/>
  <c r="AM15" i="7"/>
  <c r="N16" i="7"/>
  <c r="T16" i="7"/>
  <c r="AJ16" i="7"/>
  <c r="AK16" i="7"/>
  <c r="AL16" i="7"/>
  <c r="AM16" i="7"/>
  <c r="N17" i="7"/>
  <c r="T17" i="7"/>
  <c r="AJ17" i="7"/>
  <c r="AK17" i="7"/>
  <c r="AL17" i="7"/>
  <c r="AM17" i="7"/>
  <c r="N18" i="7"/>
  <c r="T18" i="7"/>
  <c r="AJ18" i="7"/>
  <c r="AK18" i="7"/>
  <c r="AL18" i="7"/>
  <c r="AM18" i="7"/>
  <c r="N19" i="7"/>
  <c r="T19" i="7"/>
  <c r="AJ19" i="7"/>
  <c r="AK19" i="7"/>
  <c r="AL19" i="7"/>
  <c r="AM19" i="7"/>
  <c r="N20" i="7"/>
  <c r="T20" i="7"/>
  <c r="AJ20" i="7"/>
  <c r="AK20" i="7"/>
  <c r="AL20" i="7"/>
  <c r="AM20" i="7"/>
  <c r="N21" i="7"/>
  <c r="T21" i="7"/>
  <c r="AJ21" i="7"/>
  <c r="AK21" i="7"/>
  <c r="AL21" i="7"/>
  <c r="AM21" i="7"/>
  <c r="N22" i="7"/>
  <c r="T22" i="7"/>
  <c r="AJ22" i="7"/>
  <c r="AK22" i="7"/>
  <c r="AL22" i="7"/>
  <c r="AM22" i="7"/>
  <c r="N23" i="7"/>
  <c r="T23" i="7"/>
  <c r="AJ23" i="7"/>
  <c r="AK23" i="7"/>
  <c r="AL23" i="7"/>
  <c r="AM23" i="7"/>
  <c r="N24" i="7"/>
  <c r="T24" i="7"/>
  <c r="AJ24" i="7"/>
  <c r="AK24" i="7"/>
  <c r="AL24" i="7"/>
  <c r="AM24" i="7"/>
  <c r="N25" i="7"/>
  <c r="T25" i="7"/>
  <c r="AJ25" i="7"/>
  <c r="AK25" i="7"/>
  <c r="AL25" i="7"/>
  <c r="AM25" i="7"/>
  <c r="N26" i="7"/>
  <c r="T26" i="7"/>
  <c r="AJ26" i="7"/>
  <c r="AK26" i="7"/>
  <c r="AL26" i="7"/>
  <c r="AM26" i="7"/>
  <c r="N27" i="7"/>
  <c r="T27" i="7"/>
  <c r="AJ27" i="7"/>
  <c r="AK27" i="7"/>
  <c r="AL27" i="7"/>
  <c r="AM27" i="7"/>
  <c r="N28" i="7"/>
  <c r="T28" i="7"/>
  <c r="AJ28" i="7"/>
  <c r="AK28" i="7"/>
  <c r="AL28" i="7"/>
  <c r="AM28" i="7"/>
  <c r="N29" i="7"/>
  <c r="T29" i="7"/>
  <c r="AJ29" i="7"/>
  <c r="AK29" i="7"/>
  <c r="AL29" i="7"/>
  <c r="AM29" i="7"/>
  <c r="N30" i="7"/>
  <c r="T30" i="7"/>
  <c r="AJ30" i="7"/>
  <c r="AK30" i="7"/>
  <c r="AL30" i="7"/>
  <c r="AM30" i="7"/>
  <c r="N31" i="7"/>
  <c r="T31" i="7"/>
  <c r="AJ31" i="7"/>
  <c r="AK31" i="7"/>
  <c r="AL31" i="7"/>
  <c r="AM31" i="7"/>
  <c r="N32" i="7"/>
  <c r="T32" i="7"/>
  <c r="AJ32" i="7"/>
  <c r="AK32" i="7"/>
  <c r="AL32" i="7"/>
  <c r="AM32" i="7"/>
  <c r="N33" i="7"/>
  <c r="T33" i="7"/>
  <c r="AJ33" i="7"/>
  <c r="AK33" i="7"/>
  <c r="AL33" i="7"/>
  <c r="AM33" i="7"/>
  <c r="N34" i="7"/>
  <c r="T34" i="7"/>
  <c r="AJ34" i="7"/>
  <c r="AK34" i="7"/>
  <c r="AL34" i="7"/>
  <c r="AM34" i="7"/>
  <c r="N35" i="7"/>
  <c r="T35" i="7"/>
  <c r="AJ35" i="7"/>
  <c r="AK35" i="7"/>
  <c r="AL35" i="7"/>
  <c r="AM35" i="7"/>
  <c r="N36" i="7"/>
  <c r="T36" i="7"/>
  <c r="AJ36" i="7"/>
  <c r="AK36" i="7"/>
  <c r="AL36" i="7"/>
  <c r="AM36" i="7"/>
  <c r="N37" i="7"/>
  <c r="T37" i="7"/>
  <c r="AJ37" i="7"/>
  <c r="AK37" i="7"/>
  <c r="AL37" i="7"/>
  <c r="AM37" i="7"/>
  <c r="N38" i="7"/>
  <c r="T38" i="7"/>
  <c r="AJ38" i="7"/>
  <c r="AK38" i="7"/>
  <c r="AL38" i="7"/>
  <c r="AM38" i="7"/>
  <c r="N39" i="7"/>
  <c r="T39" i="7"/>
  <c r="AJ39" i="7"/>
  <c r="AK39" i="7"/>
  <c r="AL39" i="7"/>
  <c r="AM39" i="7"/>
  <c r="N40" i="7"/>
  <c r="T40" i="7"/>
  <c r="AJ40" i="7"/>
  <c r="AK40" i="7"/>
  <c r="AL40" i="7"/>
  <c r="AM40" i="7"/>
  <c r="N41" i="7"/>
  <c r="T41" i="7"/>
  <c r="AJ41" i="7"/>
  <c r="AK41" i="7"/>
  <c r="AL41" i="7"/>
  <c r="AM41" i="7"/>
  <c r="N42" i="7"/>
  <c r="T42" i="7"/>
  <c r="AJ42" i="7"/>
  <c r="AK42" i="7"/>
  <c r="AL42" i="7"/>
  <c r="AM42" i="7"/>
  <c r="N43" i="7"/>
  <c r="T43" i="7"/>
  <c r="AJ43" i="7"/>
  <c r="AK43" i="7"/>
  <c r="AL43" i="7"/>
  <c r="AM43" i="7"/>
  <c r="N44" i="7"/>
  <c r="T44" i="7"/>
  <c r="AJ44" i="7"/>
  <c r="AK44" i="7"/>
  <c r="AL44" i="7"/>
  <c r="AM44" i="7"/>
  <c r="N45" i="7"/>
  <c r="T45" i="7"/>
  <c r="AJ45" i="7"/>
  <c r="AK45" i="7"/>
  <c r="AL45" i="7"/>
  <c r="AM45" i="7"/>
  <c r="N46" i="7"/>
  <c r="T46" i="7"/>
  <c r="AJ46" i="7"/>
  <c r="AK46" i="7"/>
  <c r="AL46" i="7"/>
  <c r="AM46" i="7"/>
  <c r="N47" i="7"/>
  <c r="T47" i="7"/>
  <c r="AJ47" i="7"/>
  <c r="AK47" i="7"/>
  <c r="AL47" i="7"/>
  <c r="AM47" i="7"/>
  <c r="N48" i="7"/>
  <c r="T48" i="7"/>
  <c r="AJ48" i="7"/>
  <c r="AK48" i="7"/>
  <c r="AL48" i="7"/>
  <c r="AM48" i="7"/>
  <c r="N49" i="7"/>
  <c r="T49" i="7"/>
  <c r="AJ49" i="7"/>
  <c r="AK49" i="7"/>
  <c r="AL49" i="7"/>
  <c r="AM49" i="7"/>
  <c r="N50" i="7"/>
  <c r="T50" i="7"/>
  <c r="AJ50" i="7"/>
  <c r="AK50" i="7"/>
  <c r="AL50" i="7"/>
  <c r="AM50" i="7"/>
  <c r="N51" i="7"/>
  <c r="T51" i="7"/>
  <c r="AJ51" i="7"/>
  <c r="AK51" i="7"/>
  <c r="AL51" i="7"/>
  <c r="AM51" i="7"/>
  <c r="N53" i="7"/>
  <c r="T53" i="7"/>
  <c r="AJ53" i="7"/>
  <c r="AK53" i="7"/>
  <c r="AL53" i="7"/>
  <c r="AM53" i="7"/>
  <c r="N58" i="7"/>
  <c r="AE58" i="7"/>
  <c r="AF58" i="7"/>
  <c r="AJ58" i="7"/>
  <c r="AK58" i="7"/>
  <c r="N5" i="8"/>
  <c r="T5" i="8"/>
  <c r="AE5" i="8"/>
  <c r="AF5" i="8"/>
  <c r="AG5" i="8"/>
  <c r="AJ5" i="8"/>
  <c r="AK5" i="8"/>
  <c r="AL5" i="8"/>
  <c r="AM5" i="8"/>
  <c r="AO5" i="8"/>
  <c r="AP5" i="8"/>
  <c r="N6" i="8"/>
  <c r="T6" i="8"/>
  <c r="AE6" i="8"/>
  <c r="AF6" i="8"/>
  <c r="AG6" i="8"/>
  <c r="AJ6" i="8"/>
  <c r="AK6" i="8"/>
  <c r="AL6" i="8"/>
  <c r="AM6" i="8"/>
  <c r="AO6" i="8"/>
  <c r="AP6" i="8"/>
  <c r="N7" i="8"/>
  <c r="T7" i="8"/>
  <c r="AE7" i="8"/>
  <c r="AF7" i="8"/>
  <c r="AG7" i="8"/>
  <c r="AJ7" i="8"/>
  <c r="AK7" i="8"/>
  <c r="AL7" i="8"/>
  <c r="AM7" i="8"/>
  <c r="AO7" i="8"/>
  <c r="AP7" i="8"/>
  <c r="N8" i="8"/>
  <c r="T8" i="8"/>
  <c r="AE8" i="8"/>
  <c r="AF8" i="8"/>
  <c r="AG8" i="8"/>
  <c r="AJ8" i="8"/>
  <c r="AK8" i="8"/>
  <c r="AL8" i="8"/>
  <c r="AM8" i="8"/>
  <c r="AO8" i="8"/>
  <c r="AP8" i="8"/>
  <c r="N9" i="8"/>
  <c r="T9" i="8"/>
  <c r="AE9" i="8"/>
  <c r="AF9" i="8"/>
  <c r="AG9" i="8"/>
  <c r="AJ9" i="8"/>
  <c r="AK9" i="8"/>
  <c r="AL9" i="8"/>
  <c r="AM9" i="8"/>
  <c r="AO9" i="8"/>
  <c r="AP9" i="8"/>
  <c r="N10" i="8"/>
  <c r="T10" i="8"/>
  <c r="AE10" i="8"/>
  <c r="AF10" i="8"/>
  <c r="AG10" i="8"/>
  <c r="AJ10" i="8"/>
  <c r="AK10" i="8"/>
  <c r="AL10" i="8"/>
  <c r="AM10" i="8"/>
  <c r="AO10" i="8"/>
  <c r="AP10" i="8"/>
  <c r="N11" i="8"/>
  <c r="T11" i="8"/>
  <c r="AE11" i="8"/>
  <c r="AF11" i="8"/>
  <c r="AG11" i="8"/>
  <c r="AJ11" i="8"/>
  <c r="AK11" i="8"/>
  <c r="AL11" i="8"/>
  <c r="AM11" i="8"/>
  <c r="AO11" i="8"/>
  <c r="AP11" i="8"/>
  <c r="N12" i="8"/>
  <c r="T12" i="8"/>
  <c r="AE12" i="8"/>
  <c r="AF12" i="8"/>
  <c r="AG12" i="8"/>
  <c r="AJ12" i="8"/>
  <c r="AK12" i="8"/>
  <c r="AL12" i="8"/>
  <c r="AM12" i="8"/>
  <c r="AO12" i="8"/>
  <c r="AP12" i="8"/>
  <c r="N13" i="8"/>
  <c r="T13" i="8"/>
  <c r="AE13" i="8"/>
  <c r="AF13" i="8"/>
  <c r="AG13" i="8"/>
  <c r="AJ13" i="8"/>
  <c r="AK13" i="8"/>
  <c r="AL13" i="8"/>
  <c r="AM13" i="8"/>
  <c r="AO13" i="8"/>
  <c r="AP13" i="8"/>
  <c r="N14" i="8"/>
  <c r="T14" i="8"/>
  <c r="AE14" i="8"/>
  <c r="AF14" i="8"/>
  <c r="AG14" i="8"/>
  <c r="AJ14" i="8"/>
  <c r="AK14" i="8"/>
  <c r="AL14" i="8"/>
  <c r="AM14" i="8"/>
  <c r="AO14" i="8"/>
  <c r="AP14" i="8"/>
  <c r="N15" i="8"/>
  <c r="T15" i="8"/>
  <c r="AE15" i="8"/>
  <c r="AF15" i="8"/>
  <c r="AG15" i="8"/>
  <c r="AJ15" i="8"/>
  <c r="AK15" i="8"/>
  <c r="AL15" i="8"/>
  <c r="AM15" i="8"/>
  <c r="AO15" i="8"/>
  <c r="AP15" i="8"/>
  <c r="N16" i="8"/>
  <c r="T16" i="8"/>
  <c r="AE16" i="8"/>
  <c r="AF16" i="8"/>
  <c r="AG16" i="8"/>
  <c r="AJ16" i="8"/>
  <c r="AK16" i="8"/>
  <c r="AL16" i="8"/>
  <c r="AM16" i="8"/>
  <c r="AO16" i="8"/>
  <c r="AP16" i="8"/>
  <c r="N17" i="8"/>
  <c r="T17" i="8"/>
  <c r="AE17" i="8"/>
  <c r="AF17" i="8"/>
  <c r="AG17" i="8"/>
  <c r="AJ17" i="8"/>
  <c r="AK17" i="8"/>
  <c r="AL17" i="8"/>
  <c r="AM17" i="8"/>
  <c r="AO17" i="8"/>
  <c r="AP17" i="8"/>
  <c r="N18" i="8"/>
  <c r="T18" i="8"/>
  <c r="AE18" i="8"/>
  <c r="AF18" i="8"/>
  <c r="AG18" i="8"/>
  <c r="AJ18" i="8"/>
  <c r="AK18" i="8"/>
  <c r="AL18" i="8"/>
  <c r="AM18" i="8"/>
  <c r="AO18" i="8"/>
  <c r="AP18" i="8"/>
  <c r="N19" i="8"/>
  <c r="T19" i="8"/>
  <c r="AE19" i="8"/>
  <c r="AF19" i="8"/>
  <c r="AG19" i="8"/>
  <c r="AJ19" i="8"/>
  <c r="AK19" i="8"/>
  <c r="AL19" i="8"/>
  <c r="AM19" i="8"/>
  <c r="AO19" i="8"/>
  <c r="AP19" i="8"/>
  <c r="N20" i="8"/>
  <c r="T20" i="8"/>
  <c r="AE20" i="8"/>
  <c r="AF20" i="8"/>
  <c r="AG20" i="8"/>
  <c r="AJ20" i="8"/>
  <c r="AK20" i="8"/>
  <c r="AL20" i="8"/>
  <c r="AM20" i="8"/>
  <c r="AO20" i="8"/>
  <c r="AP20" i="8"/>
  <c r="N21" i="8"/>
  <c r="T21" i="8"/>
  <c r="AE21" i="8"/>
  <c r="AF21" i="8"/>
  <c r="AG21" i="8"/>
  <c r="AJ21" i="8"/>
  <c r="AK21" i="8"/>
  <c r="AL21" i="8"/>
  <c r="AM21" i="8"/>
  <c r="AO21" i="8"/>
  <c r="AP21" i="8"/>
  <c r="N22" i="8"/>
  <c r="T22" i="8"/>
  <c r="AE22" i="8"/>
  <c r="AF22" i="8"/>
  <c r="AG22" i="8"/>
  <c r="AJ22" i="8"/>
  <c r="AK22" i="8"/>
  <c r="AL22" i="8"/>
  <c r="AM22" i="8"/>
  <c r="AO22" i="8"/>
  <c r="AP22" i="8"/>
  <c r="N23" i="8"/>
  <c r="T23" i="8"/>
  <c r="AE23" i="8"/>
  <c r="AF23" i="8"/>
  <c r="AG23" i="8"/>
  <c r="AJ23" i="8"/>
  <c r="AK23" i="8"/>
  <c r="AL23" i="8"/>
  <c r="AM23" i="8"/>
  <c r="AO23" i="8"/>
  <c r="AP23" i="8"/>
  <c r="N24" i="8"/>
  <c r="T24" i="8"/>
  <c r="AE24" i="8"/>
  <c r="AF24" i="8"/>
  <c r="AG24" i="8"/>
  <c r="AJ24" i="8"/>
  <c r="AK24" i="8"/>
  <c r="AL24" i="8"/>
  <c r="AM24" i="8"/>
  <c r="AO24" i="8"/>
  <c r="AP24" i="8"/>
  <c r="N25" i="8"/>
  <c r="T25" i="8"/>
  <c r="AE25" i="8"/>
  <c r="AF25" i="8"/>
  <c r="AG25" i="8"/>
  <c r="AJ25" i="8"/>
  <c r="AK25" i="8"/>
  <c r="AL25" i="8"/>
  <c r="AM25" i="8"/>
  <c r="AO25" i="8"/>
  <c r="AP25" i="8"/>
  <c r="N26" i="8"/>
  <c r="T26" i="8"/>
  <c r="AE26" i="8"/>
  <c r="AF26" i="8"/>
  <c r="AG26" i="8"/>
  <c r="AJ26" i="8"/>
  <c r="AK26" i="8"/>
  <c r="AL26" i="8"/>
  <c r="AM26" i="8"/>
  <c r="AO26" i="8"/>
  <c r="AP26" i="8"/>
  <c r="N27" i="8"/>
  <c r="T27" i="8"/>
  <c r="AE27" i="8"/>
  <c r="AF27" i="8"/>
  <c r="AG27" i="8"/>
  <c r="AJ27" i="8"/>
  <c r="AK27" i="8"/>
  <c r="AL27" i="8"/>
  <c r="AM27" i="8"/>
  <c r="AO27" i="8"/>
  <c r="AP27" i="8"/>
  <c r="N28" i="8"/>
  <c r="T28" i="8"/>
  <c r="AE28" i="8"/>
  <c r="AF28" i="8"/>
  <c r="AG28" i="8"/>
  <c r="AJ28" i="8"/>
  <c r="AK28" i="8"/>
  <c r="AL28" i="8"/>
  <c r="AM28" i="8"/>
  <c r="AO28" i="8"/>
  <c r="AP28" i="8"/>
  <c r="N29" i="8"/>
  <c r="T29" i="8"/>
  <c r="AE29" i="8"/>
  <c r="AF29" i="8"/>
  <c r="AG29" i="8"/>
  <c r="AJ29" i="8"/>
  <c r="AK29" i="8"/>
  <c r="AL29" i="8"/>
  <c r="AM29" i="8"/>
  <c r="AO29" i="8"/>
  <c r="AP29" i="8"/>
  <c r="N30" i="8"/>
  <c r="T30" i="8"/>
  <c r="AE30" i="8"/>
  <c r="AF30" i="8"/>
  <c r="AG30" i="8"/>
  <c r="AJ30" i="8"/>
  <c r="AK30" i="8"/>
  <c r="AL30" i="8"/>
  <c r="AM30" i="8"/>
  <c r="AO30" i="8"/>
  <c r="AP30" i="8"/>
  <c r="N31" i="8"/>
  <c r="T31" i="8"/>
  <c r="AE31" i="8"/>
  <c r="AF31" i="8"/>
  <c r="AG31" i="8"/>
  <c r="AJ31" i="8"/>
  <c r="AK31" i="8"/>
  <c r="AL31" i="8"/>
  <c r="AM31" i="8"/>
  <c r="AO31" i="8"/>
  <c r="AP31" i="8"/>
  <c r="N32" i="8"/>
  <c r="T32" i="8"/>
  <c r="AE32" i="8"/>
  <c r="AF32" i="8"/>
  <c r="AG32" i="8"/>
  <c r="AJ32" i="8"/>
  <c r="AK32" i="8"/>
  <c r="AL32" i="8"/>
  <c r="AM32" i="8"/>
  <c r="AO32" i="8"/>
  <c r="AP32" i="8"/>
  <c r="N33" i="8"/>
  <c r="T33" i="8"/>
  <c r="AE33" i="8"/>
  <c r="AF33" i="8"/>
  <c r="AG33" i="8"/>
  <c r="AJ33" i="8"/>
  <c r="AK33" i="8"/>
  <c r="AL33" i="8"/>
  <c r="AM33" i="8"/>
  <c r="AO33" i="8"/>
  <c r="AP33" i="8"/>
  <c r="N34" i="8"/>
  <c r="T34" i="8"/>
  <c r="AE34" i="8"/>
  <c r="AF34" i="8"/>
  <c r="AG34" i="8"/>
  <c r="AJ34" i="8"/>
  <c r="AK34" i="8"/>
  <c r="AL34" i="8"/>
  <c r="AM34" i="8"/>
  <c r="AO34" i="8"/>
  <c r="AP34" i="8"/>
  <c r="N35" i="8"/>
  <c r="T35" i="8"/>
  <c r="AE35" i="8"/>
  <c r="AF35" i="8"/>
  <c r="AG35" i="8"/>
  <c r="AJ35" i="8"/>
  <c r="AK35" i="8"/>
  <c r="AL35" i="8"/>
  <c r="AM35" i="8"/>
  <c r="AO35" i="8"/>
  <c r="AP35" i="8"/>
  <c r="N36" i="8"/>
  <c r="T36" i="8"/>
  <c r="AE36" i="8"/>
  <c r="AF36" i="8"/>
  <c r="AG36" i="8"/>
  <c r="AJ36" i="8"/>
  <c r="AK36" i="8"/>
  <c r="AL36" i="8"/>
  <c r="AM36" i="8"/>
  <c r="AO36" i="8"/>
  <c r="AP36" i="8"/>
  <c r="N37" i="8"/>
  <c r="T37" i="8"/>
  <c r="AE37" i="8"/>
  <c r="AF37" i="8"/>
  <c r="AG37" i="8"/>
  <c r="AJ37" i="8"/>
  <c r="AK37" i="8"/>
  <c r="AL37" i="8"/>
  <c r="AM37" i="8"/>
  <c r="AO37" i="8"/>
  <c r="AP37" i="8"/>
  <c r="N38" i="8"/>
  <c r="T38" i="8"/>
  <c r="AE38" i="8"/>
  <c r="AF38" i="8"/>
  <c r="AG38" i="8"/>
  <c r="AJ38" i="8"/>
  <c r="AK38" i="8"/>
  <c r="AL38" i="8"/>
  <c r="AM38" i="8"/>
  <c r="AO38" i="8"/>
  <c r="AP38" i="8"/>
  <c r="N39" i="8"/>
  <c r="T39" i="8"/>
  <c r="AE39" i="8"/>
  <c r="AF39" i="8"/>
  <c r="AG39" i="8"/>
  <c r="AJ39" i="8"/>
  <c r="AK39" i="8"/>
  <c r="AL39" i="8"/>
  <c r="AM39" i="8"/>
  <c r="AO39" i="8"/>
  <c r="AP39" i="8"/>
  <c r="N40" i="8"/>
  <c r="T40" i="8"/>
  <c r="AE40" i="8"/>
  <c r="AF40" i="8"/>
  <c r="AG40" i="8"/>
  <c r="AJ40" i="8"/>
  <c r="AK40" i="8"/>
  <c r="AL40" i="8"/>
  <c r="AM40" i="8"/>
  <c r="AO40" i="8"/>
  <c r="AP40" i="8"/>
  <c r="N41" i="8"/>
  <c r="T41" i="8"/>
  <c r="AE41" i="8"/>
  <c r="AF41" i="8"/>
  <c r="AG41" i="8"/>
  <c r="AJ41" i="8"/>
  <c r="AK41" i="8"/>
  <c r="AL41" i="8"/>
  <c r="AM41" i="8"/>
  <c r="AO41" i="8"/>
  <c r="AP41" i="8"/>
  <c r="N42" i="8"/>
  <c r="T42" i="8"/>
  <c r="AE42" i="8"/>
  <c r="AF42" i="8"/>
  <c r="AG42" i="8"/>
  <c r="AJ42" i="8"/>
  <c r="AK42" i="8"/>
  <c r="AL42" i="8"/>
  <c r="AM42" i="8"/>
  <c r="AO42" i="8"/>
  <c r="AP42" i="8"/>
  <c r="N43" i="8"/>
  <c r="T43" i="8"/>
  <c r="AE43" i="8"/>
  <c r="AF43" i="8"/>
  <c r="AG43" i="8"/>
  <c r="AJ43" i="8"/>
  <c r="AK43" i="8"/>
  <c r="AL43" i="8"/>
  <c r="AM43" i="8"/>
  <c r="AO43" i="8"/>
  <c r="AP43" i="8"/>
  <c r="N44" i="8"/>
  <c r="T44" i="8"/>
  <c r="AE44" i="8"/>
  <c r="AF44" i="8"/>
  <c r="AG44" i="8"/>
  <c r="AJ44" i="8"/>
  <c r="AK44" i="8"/>
  <c r="AL44" i="8"/>
  <c r="AM44" i="8"/>
  <c r="AO44" i="8"/>
  <c r="AP44" i="8"/>
  <c r="N45" i="8"/>
  <c r="T45" i="8"/>
  <c r="AE45" i="8"/>
  <c r="AF45" i="8"/>
  <c r="AG45" i="8"/>
  <c r="AJ45" i="8"/>
  <c r="AK45" i="8"/>
  <c r="AL45" i="8"/>
  <c r="AM45" i="8"/>
  <c r="AO45" i="8"/>
  <c r="AP45" i="8"/>
  <c r="N46" i="8"/>
  <c r="T46" i="8"/>
  <c r="AE46" i="8"/>
  <c r="AF46" i="8"/>
  <c r="AG46" i="8"/>
  <c r="AJ46" i="8"/>
  <c r="AK46" i="8"/>
  <c r="AL46" i="8"/>
  <c r="AM46" i="8"/>
  <c r="AO46" i="8"/>
  <c r="AP46" i="8"/>
  <c r="N47" i="8"/>
  <c r="T47" i="8"/>
  <c r="AE47" i="8"/>
  <c r="AF47" i="8"/>
  <c r="AG47" i="8"/>
  <c r="AJ47" i="8"/>
  <c r="AK47" i="8"/>
  <c r="AL47" i="8"/>
  <c r="AM47" i="8"/>
  <c r="AO47" i="8"/>
  <c r="AP47" i="8"/>
  <c r="N48" i="8"/>
  <c r="T48" i="8"/>
  <c r="AE48" i="8"/>
  <c r="AF48" i="8"/>
  <c r="AG48" i="8"/>
  <c r="AJ48" i="8"/>
  <c r="AK48" i="8"/>
  <c r="AL48" i="8"/>
  <c r="AM48" i="8"/>
  <c r="AO48" i="8"/>
  <c r="AP48" i="8"/>
  <c r="N49" i="8"/>
  <c r="T49" i="8"/>
  <c r="AE49" i="8"/>
  <c r="AF49" i="8"/>
  <c r="AG49" i="8"/>
  <c r="AJ49" i="8"/>
  <c r="AK49" i="8"/>
  <c r="AL49" i="8"/>
  <c r="AM49" i="8"/>
  <c r="AO49" i="8"/>
  <c r="AP49" i="8"/>
  <c r="N50" i="8"/>
  <c r="T50" i="8"/>
  <c r="AE50" i="8"/>
  <c r="AF50" i="8"/>
  <c r="AG50" i="8"/>
  <c r="AJ50" i="8"/>
  <c r="AK50" i="8"/>
  <c r="AL50" i="8"/>
  <c r="AM50" i="8"/>
  <c r="AO50" i="8"/>
  <c r="AP50" i="8"/>
  <c r="N51" i="8"/>
  <c r="T51" i="8"/>
  <c r="AE51" i="8"/>
  <c r="AF51" i="8"/>
  <c r="AG51" i="8"/>
  <c r="AJ51" i="8"/>
  <c r="AK51" i="8"/>
  <c r="AL51" i="8"/>
  <c r="AM51" i="8"/>
  <c r="AO51" i="8"/>
  <c r="AP51" i="8"/>
  <c r="N53" i="8"/>
  <c r="T53" i="8"/>
  <c r="AE53" i="8"/>
  <c r="AF53" i="8"/>
  <c r="AG53" i="8"/>
  <c r="AJ53" i="8"/>
  <c r="AK53" i="8"/>
  <c r="AL53" i="8"/>
  <c r="AM53" i="8"/>
  <c r="AO53" i="8"/>
  <c r="AP53" i="8"/>
  <c r="AO55" i="8"/>
  <c r="AP55" i="8"/>
  <c r="AE58" i="8"/>
  <c r="AF58" i="8"/>
  <c r="N5" i="9"/>
  <c r="T5" i="9"/>
  <c r="AE5" i="9"/>
  <c r="AF5" i="9"/>
  <c r="AG5" i="9"/>
  <c r="AJ5" i="9"/>
  <c r="AK5" i="9"/>
  <c r="AL5" i="9"/>
  <c r="AM5" i="9"/>
  <c r="AO5" i="9"/>
  <c r="AP5" i="9"/>
  <c r="N6" i="9"/>
  <c r="T6" i="9"/>
  <c r="AE6" i="9"/>
  <c r="AF6" i="9"/>
  <c r="AG6" i="9"/>
  <c r="AJ6" i="9"/>
  <c r="AK6" i="9"/>
  <c r="AL6" i="9"/>
  <c r="AM6" i="9"/>
  <c r="AO6" i="9"/>
  <c r="AP6" i="9"/>
  <c r="N7" i="9"/>
  <c r="T7" i="9"/>
  <c r="AE7" i="9"/>
  <c r="AF7" i="9"/>
  <c r="AG7" i="9"/>
  <c r="AJ7" i="9"/>
  <c r="AK7" i="9"/>
  <c r="AL7" i="9"/>
  <c r="AM7" i="9"/>
  <c r="AO7" i="9"/>
  <c r="AP7" i="9"/>
  <c r="N8" i="9"/>
  <c r="T8" i="9"/>
  <c r="AE8" i="9"/>
  <c r="AF8" i="9"/>
  <c r="AG8" i="9"/>
  <c r="AJ8" i="9"/>
  <c r="AK8" i="9"/>
  <c r="AL8" i="9"/>
  <c r="AM8" i="9"/>
  <c r="AO8" i="9"/>
  <c r="AP8" i="9"/>
  <c r="N9" i="9"/>
  <c r="T9" i="9"/>
  <c r="AE9" i="9"/>
  <c r="AF9" i="9"/>
  <c r="AG9" i="9"/>
  <c r="AJ9" i="9"/>
  <c r="AK9" i="9"/>
  <c r="AL9" i="9"/>
  <c r="AM9" i="9"/>
  <c r="AO9" i="9"/>
  <c r="AP9" i="9"/>
  <c r="N10" i="9"/>
  <c r="T10" i="9"/>
  <c r="AE10" i="9"/>
  <c r="AF10" i="9"/>
  <c r="AG10" i="9"/>
  <c r="AJ10" i="9"/>
  <c r="AK10" i="9"/>
  <c r="AL10" i="9"/>
  <c r="AM10" i="9"/>
  <c r="AO10" i="9"/>
  <c r="AP10" i="9"/>
  <c r="N11" i="9"/>
  <c r="T11" i="9"/>
  <c r="AE11" i="9"/>
  <c r="AF11" i="9"/>
  <c r="AG11" i="9"/>
  <c r="AJ11" i="9"/>
  <c r="AK11" i="9"/>
  <c r="AL11" i="9"/>
  <c r="AM11" i="9"/>
  <c r="AO11" i="9"/>
  <c r="AP11" i="9"/>
  <c r="N12" i="9"/>
  <c r="T12" i="9"/>
  <c r="AE12" i="9"/>
  <c r="AF12" i="9"/>
  <c r="AG12" i="9"/>
  <c r="AJ12" i="9"/>
  <c r="AK12" i="9"/>
  <c r="AL12" i="9"/>
  <c r="AM12" i="9"/>
  <c r="AO12" i="9"/>
  <c r="AP12" i="9"/>
  <c r="N13" i="9"/>
  <c r="T13" i="9"/>
  <c r="AE13" i="9"/>
  <c r="AF13" i="9"/>
  <c r="AG13" i="9"/>
  <c r="AJ13" i="9"/>
  <c r="AK13" i="9"/>
  <c r="AL13" i="9"/>
  <c r="AM13" i="9"/>
  <c r="AO13" i="9"/>
  <c r="AP13" i="9"/>
  <c r="N14" i="9"/>
  <c r="T14" i="9"/>
  <c r="AE14" i="9"/>
  <c r="AF14" i="9"/>
  <c r="AG14" i="9"/>
  <c r="AJ14" i="9"/>
  <c r="AK14" i="9"/>
  <c r="AL14" i="9"/>
  <c r="AM14" i="9"/>
  <c r="AO14" i="9"/>
  <c r="AP14" i="9"/>
  <c r="N15" i="9"/>
  <c r="T15" i="9"/>
  <c r="AE15" i="9"/>
  <c r="AF15" i="9"/>
  <c r="AG15" i="9"/>
  <c r="AJ15" i="9"/>
  <c r="AK15" i="9"/>
  <c r="AL15" i="9"/>
  <c r="AM15" i="9"/>
  <c r="AO15" i="9"/>
  <c r="AP15" i="9"/>
  <c r="N16" i="9"/>
  <c r="T16" i="9"/>
  <c r="AE16" i="9"/>
  <c r="AF16" i="9"/>
  <c r="AG16" i="9"/>
  <c r="AJ16" i="9"/>
  <c r="AK16" i="9"/>
  <c r="AL16" i="9"/>
  <c r="AM16" i="9"/>
  <c r="AO16" i="9"/>
  <c r="AP16" i="9"/>
  <c r="N17" i="9"/>
  <c r="T17" i="9"/>
  <c r="AE17" i="9"/>
  <c r="AF17" i="9"/>
  <c r="AG17" i="9"/>
  <c r="AJ17" i="9"/>
  <c r="AK17" i="9"/>
  <c r="AL17" i="9"/>
  <c r="AM17" i="9"/>
  <c r="AO17" i="9"/>
  <c r="AP17" i="9"/>
  <c r="N18" i="9"/>
  <c r="T18" i="9"/>
  <c r="AE18" i="9"/>
  <c r="AF18" i="9"/>
  <c r="AG18" i="9"/>
  <c r="AJ18" i="9"/>
  <c r="AK18" i="9"/>
  <c r="AL18" i="9"/>
  <c r="AM18" i="9"/>
  <c r="AO18" i="9"/>
  <c r="AP18" i="9"/>
  <c r="N19" i="9"/>
  <c r="T19" i="9"/>
  <c r="AE19" i="9"/>
  <c r="AF19" i="9"/>
  <c r="AG19" i="9"/>
  <c r="AJ19" i="9"/>
  <c r="AK19" i="9"/>
  <c r="AL19" i="9"/>
  <c r="AM19" i="9"/>
  <c r="AO19" i="9"/>
  <c r="AP19" i="9"/>
  <c r="N20" i="9"/>
  <c r="T20" i="9"/>
  <c r="AE20" i="9"/>
  <c r="AF20" i="9"/>
  <c r="AG20" i="9"/>
  <c r="AJ20" i="9"/>
  <c r="AK20" i="9"/>
  <c r="AL20" i="9"/>
  <c r="AM20" i="9"/>
  <c r="AO20" i="9"/>
  <c r="AP20" i="9"/>
  <c r="N21" i="9"/>
  <c r="T21" i="9"/>
  <c r="AE21" i="9"/>
  <c r="AF21" i="9"/>
  <c r="AG21" i="9"/>
  <c r="AJ21" i="9"/>
  <c r="AK21" i="9"/>
  <c r="AL21" i="9"/>
  <c r="AM21" i="9"/>
  <c r="AO21" i="9"/>
  <c r="AP21" i="9"/>
  <c r="N22" i="9"/>
  <c r="T22" i="9"/>
  <c r="AE22" i="9"/>
  <c r="AF22" i="9"/>
  <c r="AG22" i="9"/>
  <c r="AJ22" i="9"/>
  <c r="AK22" i="9"/>
  <c r="AL22" i="9"/>
  <c r="AM22" i="9"/>
  <c r="AO22" i="9"/>
  <c r="AP22" i="9"/>
  <c r="N23" i="9"/>
  <c r="T23" i="9"/>
  <c r="AE23" i="9"/>
  <c r="AF23" i="9"/>
  <c r="AG23" i="9"/>
  <c r="AJ23" i="9"/>
  <c r="AK23" i="9"/>
  <c r="AL23" i="9"/>
  <c r="AM23" i="9"/>
  <c r="AO23" i="9"/>
  <c r="AP23" i="9"/>
  <c r="N24" i="9"/>
  <c r="T24" i="9"/>
  <c r="AE24" i="9"/>
  <c r="AF24" i="9"/>
  <c r="AG24" i="9"/>
  <c r="AJ24" i="9"/>
  <c r="AK24" i="9"/>
  <c r="AL24" i="9"/>
  <c r="AM24" i="9"/>
  <c r="AO24" i="9"/>
  <c r="AP24" i="9"/>
  <c r="N25" i="9"/>
  <c r="T25" i="9"/>
  <c r="AE25" i="9"/>
  <c r="AF25" i="9"/>
  <c r="AG25" i="9"/>
  <c r="AJ25" i="9"/>
  <c r="AK25" i="9"/>
  <c r="AL25" i="9"/>
  <c r="AM25" i="9"/>
  <c r="AO25" i="9"/>
  <c r="AP25" i="9"/>
  <c r="N26" i="9"/>
  <c r="T26" i="9"/>
  <c r="AE26" i="9"/>
  <c r="AF26" i="9"/>
  <c r="AG26" i="9"/>
  <c r="AJ26" i="9"/>
  <c r="AK26" i="9"/>
  <c r="AL26" i="9"/>
  <c r="AM26" i="9"/>
  <c r="AO26" i="9"/>
  <c r="AP26" i="9"/>
  <c r="N27" i="9"/>
  <c r="T27" i="9"/>
  <c r="AE27" i="9"/>
  <c r="AF27" i="9"/>
  <c r="AG27" i="9"/>
  <c r="AJ27" i="9"/>
  <c r="AK27" i="9"/>
  <c r="AL27" i="9"/>
  <c r="AM27" i="9"/>
  <c r="AO27" i="9"/>
  <c r="AP27" i="9"/>
  <c r="N28" i="9"/>
  <c r="T28" i="9"/>
  <c r="AE28" i="9"/>
  <c r="AF28" i="9"/>
  <c r="AG28" i="9"/>
  <c r="AJ28" i="9"/>
  <c r="AK28" i="9"/>
  <c r="AL28" i="9"/>
  <c r="AM28" i="9"/>
  <c r="AO28" i="9"/>
  <c r="AP28" i="9"/>
  <c r="N29" i="9"/>
  <c r="T29" i="9"/>
  <c r="AE29" i="9"/>
  <c r="AF29" i="9"/>
  <c r="AG29" i="9"/>
  <c r="AJ29" i="9"/>
  <c r="AK29" i="9"/>
  <c r="AL29" i="9"/>
  <c r="AM29" i="9"/>
  <c r="AO29" i="9"/>
  <c r="AP29" i="9"/>
  <c r="N30" i="9"/>
  <c r="T30" i="9"/>
  <c r="AE30" i="9"/>
  <c r="AF30" i="9"/>
  <c r="AG30" i="9"/>
  <c r="AJ30" i="9"/>
  <c r="AK30" i="9"/>
  <c r="AL30" i="9"/>
  <c r="AM30" i="9"/>
  <c r="AO30" i="9"/>
  <c r="AP30" i="9"/>
  <c r="N31" i="9"/>
  <c r="T31" i="9"/>
  <c r="AE31" i="9"/>
  <c r="AF31" i="9"/>
  <c r="AG31" i="9"/>
  <c r="AJ31" i="9"/>
  <c r="AK31" i="9"/>
  <c r="AL31" i="9"/>
  <c r="AM31" i="9"/>
  <c r="AO31" i="9"/>
  <c r="AP31" i="9"/>
  <c r="N32" i="9"/>
  <c r="T32" i="9"/>
  <c r="AE32" i="9"/>
  <c r="AF32" i="9"/>
  <c r="AG32" i="9"/>
  <c r="AJ32" i="9"/>
  <c r="AK32" i="9"/>
  <c r="AL32" i="9"/>
  <c r="AM32" i="9"/>
  <c r="AO32" i="9"/>
  <c r="AP32" i="9"/>
  <c r="N33" i="9"/>
  <c r="T33" i="9"/>
  <c r="AE33" i="9"/>
  <c r="AF33" i="9"/>
  <c r="AG33" i="9"/>
  <c r="AJ33" i="9"/>
  <c r="AK33" i="9"/>
  <c r="AL33" i="9"/>
  <c r="AM33" i="9"/>
  <c r="AO33" i="9"/>
  <c r="AP33" i="9"/>
  <c r="N34" i="9"/>
  <c r="T34" i="9"/>
  <c r="AE34" i="9"/>
  <c r="AF34" i="9"/>
  <c r="AG34" i="9"/>
  <c r="AJ34" i="9"/>
  <c r="AK34" i="9"/>
  <c r="AL34" i="9"/>
  <c r="AM34" i="9"/>
  <c r="AO34" i="9"/>
  <c r="AP34" i="9"/>
  <c r="N35" i="9"/>
  <c r="T35" i="9"/>
  <c r="AE35" i="9"/>
  <c r="AF35" i="9"/>
  <c r="AG35" i="9"/>
  <c r="AJ35" i="9"/>
  <c r="AK35" i="9"/>
  <c r="AL35" i="9"/>
  <c r="AM35" i="9"/>
  <c r="AO35" i="9"/>
  <c r="AP35" i="9"/>
  <c r="N36" i="9"/>
  <c r="T36" i="9"/>
  <c r="AE36" i="9"/>
  <c r="AF36" i="9"/>
  <c r="AG36" i="9"/>
  <c r="AJ36" i="9"/>
  <c r="AK36" i="9"/>
  <c r="AL36" i="9"/>
  <c r="AM36" i="9"/>
  <c r="AO36" i="9"/>
  <c r="AP36" i="9"/>
  <c r="N37" i="9"/>
  <c r="T37" i="9"/>
  <c r="AE37" i="9"/>
  <c r="AF37" i="9"/>
  <c r="AG37" i="9"/>
  <c r="AJ37" i="9"/>
  <c r="AK37" i="9"/>
  <c r="AL37" i="9"/>
  <c r="AM37" i="9"/>
  <c r="AO37" i="9"/>
  <c r="AP37" i="9"/>
  <c r="N38" i="9"/>
  <c r="T38" i="9"/>
  <c r="AE38" i="9"/>
  <c r="AF38" i="9"/>
  <c r="AG38" i="9"/>
  <c r="AJ38" i="9"/>
  <c r="AK38" i="9"/>
  <c r="AL38" i="9"/>
  <c r="AM38" i="9"/>
  <c r="AO38" i="9"/>
  <c r="AP38" i="9"/>
  <c r="N39" i="9"/>
  <c r="T39" i="9"/>
  <c r="AE39" i="9"/>
  <c r="AF39" i="9"/>
  <c r="AG39" i="9"/>
  <c r="AJ39" i="9"/>
  <c r="AK39" i="9"/>
  <c r="AL39" i="9"/>
  <c r="AM39" i="9"/>
  <c r="AO39" i="9"/>
  <c r="AP39" i="9"/>
  <c r="N40" i="9"/>
  <c r="T40" i="9"/>
  <c r="AE40" i="9"/>
  <c r="AF40" i="9"/>
  <c r="AG40" i="9"/>
  <c r="AJ40" i="9"/>
  <c r="AK40" i="9"/>
  <c r="AL40" i="9"/>
  <c r="AM40" i="9"/>
  <c r="AO40" i="9"/>
  <c r="AP40" i="9"/>
  <c r="N41" i="9"/>
  <c r="T41" i="9"/>
  <c r="AE41" i="9"/>
  <c r="AF41" i="9"/>
  <c r="AG41" i="9"/>
  <c r="AJ41" i="9"/>
  <c r="AK41" i="9"/>
  <c r="AL41" i="9"/>
  <c r="AM41" i="9"/>
  <c r="AO41" i="9"/>
  <c r="AP41" i="9"/>
  <c r="N42" i="9"/>
  <c r="T42" i="9"/>
  <c r="AE42" i="9"/>
  <c r="AF42" i="9"/>
  <c r="AG42" i="9"/>
  <c r="AJ42" i="9"/>
  <c r="AK42" i="9"/>
  <c r="AL42" i="9"/>
  <c r="AM42" i="9"/>
  <c r="AO42" i="9"/>
  <c r="AP42" i="9"/>
  <c r="N43" i="9"/>
  <c r="T43" i="9"/>
  <c r="AE43" i="9"/>
  <c r="AF43" i="9"/>
  <c r="AG43" i="9"/>
  <c r="AJ43" i="9"/>
  <c r="AK43" i="9"/>
  <c r="AL43" i="9"/>
  <c r="AM43" i="9"/>
  <c r="AO43" i="9"/>
  <c r="AP43" i="9"/>
  <c r="N44" i="9"/>
  <c r="T44" i="9"/>
  <c r="AE44" i="9"/>
  <c r="AF44" i="9"/>
  <c r="AG44" i="9"/>
  <c r="AJ44" i="9"/>
  <c r="AK44" i="9"/>
  <c r="AL44" i="9"/>
  <c r="AM44" i="9"/>
  <c r="AO44" i="9"/>
  <c r="AP44" i="9"/>
  <c r="N45" i="9"/>
  <c r="T45" i="9"/>
  <c r="AE45" i="9"/>
  <c r="AF45" i="9"/>
  <c r="AG45" i="9"/>
  <c r="AJ45" i="9"/>
  <c r="AK45" i="9"/>
  <c r="AL45" i="9"/>
  <c r="AM45" i="9"/>
  <c r="AO45" i="9"/>
  <c r="AP45" i="9"/>
  <c r="N46" i="9"/>
  <c r="T46" i="9"/>
  <c r="AE46" i="9"/>
  <c r="AF46" i="9"/>
  <c r="AG46" i="9"/>
  <c r="AJ46" i="9"/>
  <c r="AK46" i="9"/>
  <c r="AL46" i="9"/>
  <c r="AM46" i="9"/>
  <c r="AO46" i="9"/>
  <c r="AP46" i="9"/>
  <c r="N47" i="9"/>
  <c r="T47" i="9"/>
  <c r="AE47" i="9"/>
  <c r="AF47" i="9"/>
  <c r="AG47" i="9"/>
  <c r="AJ47" i="9"/>
  <c r="AK47" i="9"/>
  <c r="AL47" i="9"/>
  <c r="AM47" i="9"/>
  <c r="AO47" i="9"/>
  <c r="AP47" i="9"/>
  <c r="N48" i="9"/>
  <c r="T48" i="9"/>
  <c r="AE48" i="9"/>
  <c r="AF48" i="9"/>
  <c r="AG48" i="9"/>
  <c r="AJ48" i="9"/>
  <c r="AK48" i="9"/>
  <c r="AL48" i="9"/>
  <c r="AM48" i="9"/>
  <c r="AO48" i="9"/>
  <c r="AP48" i="9"/>
  <c r="N49" i="9"/>
  <c r="T49" i="9"/>
  <c r="AE49" i="9"/>
  <c r="AF49" i="9"/>
  <c r="AG49" i="9"/>
  <c r="AJ49" i="9"/>
  <c r="AK49" i="9"/>
  <c r="AL49" i="9"/>
  <c r="AM49" i="9"/>
  <c r="AO49" i="9"/>
  <c r="AP49" i="9"/>
  <c r="N50" i="9"/>
  <c r="T50" i="9"/>
  <c r="AE50" i="9"/>
  <c r="AF50" i="9"/>
  <c r="AG50" i="9"/>
  <c r="AJ50" i="9"/>
  <c r="AK50" i="9"/>
  <c r="AL50" i="9"/>
  <c r="AM50" i="9"/>
  <c r="AO50" i="9"/>
  <c r="AP50" i="9"/>
  <c r="N51" i="9"/>
  <c r="T51" i="9"/>
  <c r="AE51" i="9"/>
  <c r="AF51" i="9"/>
  <c r="AG51" i="9"/>
  <c r="AJ51" i="9"/>
  <c r="AK51" i="9"/>
  <c r="AL51" i="9"/>
  <c r="AM51" i="9"/>
  <c r="AO51" i="9"/>
  <c r="AP51" i="9"/>
  <c r="N53" i="9"/>
  <c r="T53" i="9"/>
  <c r="AE53" i="9"/>
  <c r="AF53" i="9"/>
  <c r="AG53" i="9"/>
  <c r="AJ53" i="9"/>
  <c r="AK53" i="9"/>
  <c r="AL53" i="9"/>
  <c r="AM53" i="9"/>
  <c r="AO53" i="9"/>
  <c r="AP53" i="9"/>
  <c r="AO55" i="9"/>
  <c r="AP5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33" authorId="0" shapeId="0" xr:uid="{E10DCF27-EB04-4B28-9FB9-B38E445DCC64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515203-6708-49F5-89AE-A1BE75DCBA16}" name="Conexão" type="7" refreshedVersion="8" background="1" saveData="1"/>
  <connection id="2" xr16:uid="{D75B83AD-AA27-438C-921F-7B169E3645CD}" name="Conexão1" type="7" refreshedVersion="8" background="1" saveData="1"/>
  <connection id="3" xr16:uid="{B08D9E61-10CB-485D-9EF2-4D55C3A4EAFD}" name="Conexão2" type="7" refreshedVersion="8" background="1" saveData="1"/>
</connections>
</file>

<file path=xl/sharedStrings.xml><?xml version="1.0" encoding="utf-8"?>
<sst xmlns="http://schemas.openxmlformats.org/spreadsheetml/2006/main" count="14751" uniqueCount="1073">
  <si>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</si>
  <si>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</si>
  <si>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</si>
  <si>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</si>
  <si>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</si>
  <si>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</si>
  <si>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</si>
  <si>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</si>
  <si>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</si>
  <si>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</si>
  <si>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</si>
  <si>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</si>
  <si>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</si>
  <si>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</si>
  <si>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</si>
  <si>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</si>
  <si>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</si>
  <si>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</si>
  <si>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</si>
  <si>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</si>
  <si>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</si>
  <si>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</si>
  <si>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</si>
  <si>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</si>
  <si>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</si>
  <si>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</si>
  <si>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</si>
  <si>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Refaturamento - Regular</t>
  </si>
  <si>
    <t>Sistema de Compensação</t>
  </si>
  <si>
    <t>Residencial baixa renda – faixa 01</t>
  </si>
  <si>
    <t>Residencial baixa renda – faixa 02</t>
  </si>
  <si>
    <t>Residencial baixa renda – faixa 03</t>
  </si>
  <si>
    <t>Residencial baixa renda – faixa 04</t>
  </si>
  <si>
    <t>Branca</t>
  </si>
  <si>
    <t>Ponta</t>
  </si>
  <si>
    <t>Fora ponta</t>
  </si>
  <si>
    <t>Intermediário</t>
  </si>
  <si>
    <t>B3</t>
  </si>
  <si>
    <t>Comercial</t>
  </si>
  <si>
    <t>A4</t>
  </si>
  <si>
    <t>Verde</t>
  </si>
  <si>
    <t>B2</t>
  </si>
  <si>
    <t>Rural</t>
  </si>
  <si>
    <t>Poder público</t>
  </si>
  <si>
    <t>B4</t>
  </si>
  <si>
    <t>Iluminação pública</t>
  </si>
  <si>
    <t>Iluminação pública – B4a</t>
  </si>
  <si>
    <t>Serviço público</t>
  </si>
  <si>
    <t>Água, esgoto e saneamento</t>
  </si>
  <si>
    <t>Industrial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</si>
  <si>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</si>
  <si>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</si>
  <si>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</si>
  <si>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</si>
  <si>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</si>
  <si>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</si>
  <si>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</si>
  <si>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</si>
  <si>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</si>
  <si>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</si>
  <si>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</si>
  <si>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</si>
  <si>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</si>
  <si>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</si>
  <si>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</si>
  <si>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Energia horária</t>
  </si>
  <si>
    <t>MWh</t>
  </si>
  <si>
    <t>EP</t>
  </si>
  <si>
    <t>EFP</t>
  </si>
  <si>
    <t>Energia convencional</t>
  </si>
  <si>
    <t>E</t>
  </si>
  <si>
    <t>Azul</t>
  </si>
  <si>
    <t>kW</t>
  </si>
  <si>
    <t>DP</t>
  </si>
  <si>
    <t>DFP</t>
  </si>
  <si>
    <t>APE</t>
  </si>
  <si>
    <t>Geração</t>
  </si>
  <si>
    <t>B</t>
  </si>
  <si>
    <t>TIPO 01</t>
  </si>
  <si>
    <t>TIPO 02</t>
  </si>
  <si>
    <t>EINT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</si>
  <si>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</si>
  <si>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</si>
  <si>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</si>
  <si>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</si>
  <si>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B4b</t>
  </si>
  <si>
    <t>CHAVE TUSD</t>
  </si>
  <si>
    <t>44378A4VerdeNão se aplicaNão se aplicaNão se aplicaNão se aplicaFora ponta</t>
  </si>
  <si>
    <t>44409A4VerdeNão se aplicaNão se aplicaNão se aplicaNão se aplicaFora ponta</t>
  </si>
  <si>
    <t>44440A4VerdeNão se aplicaNão se aplicaNão se aplicaNão se aplicaFora ponta</t>
  </si>
  <si>
    <t>44470A4VerdeNão se aplicaNão se aplicaNão se aplicaNão se aplicaFora ponta</t>
  </si>
  <si>
    <t>44501A4VerdeNão se aplicaNão se aplicaNão se aplicaNão se aplicaFora ponta</t>
  </si>
  <si>
    <t>44531A4VerdeNão se aplicaNão se aplicaNão se aplicaNão se aplicaFora ponta</t>
  </si>
  <si>
    <t>44562A4VerdeNão se aplicaNão se aplicaNão se aplicaNão se aplicaFora ponta</t>
  </si>
  <si>
    <t>44593A4VerdeNão se aplicaNão se aplicaNão se aplicaNão se aplicaFora ponta</t>
  </si>
  <si>
    <t>44621A4VerdeNão se aplicaNão se aplicaNão se aplicaNão se aplicaFora ponta</t>
  </si>
  <si>
    <t>44652A4VerdeNão se aplicaNão se aplicaNão se aplicaNão se aplicaFora ponta</t>
  </si>
  <si>
    <t>44682A4VerdeNão se aplicaNão se aplicaNão se aplicaNão se aplicaFora ponta</t>
  </si>
  <si>
    <t>44713A4VerdeNão se aplicaNão se aplicaNão se aplicaNão se aplicaFora ponta</t>
  </si>
  <si>
    <t>44378A4VerdeNão se aplicaNão se aplicaNão se aplicaNão se aplicaNão se aplica</t>
  </si>
  <si>
    <t>44409A4VerdeNão se aplicaNão se aplicaNão se aplicaNão se aplicaNão se aplica</t>
  </si>
  <si>
    <t>44440A4VerdeNão se aplicaNão se aplicaNão se aplicaNão se aplicaNão se aplica</t>
  </si>
  <si>
    <t>44470A4VerdeNão se aplicaNão se aplicaNão se aplicaNão se aplicaNão se aplica</t>
  </si>
  <si>
    <t>44501A4VerdeNão se aplicaNão se aplicaNão se aplicaNão se aplicaNão se aplica</t>
  </si>
  <si>
    <t>44531A4VerdeNão se aplicaNão se aplicaNão se aplicaNão se aplicaNão se aplica</t>
  </si>
  <si>
    <t>44562A4VerdeNão se aplicaNão se aplicaNão se aplicaNão se aplicaNão se aplica</t>
  </si>
  <si>
    <t>44593A4VerdeNão se aplicaNão se aplicaNão se aplicaNão se aplicaNão se aplica</t>
  </si>
  <si>
    <t>44621A4VerdeNão se aplicaNão se aplicaNão se aplicaNão se aplicaNão se aplica</t>
  </si>
  <si>
    <t>44652A4VerdeNão se aplicaNão se aplicaNão se aplicaNão se aplicaNão se aplica</t>
  </si>
  <si>
    <t>44682A4VerdeNão se aplicaNão se aplicaNão se aplicaNão se aplicaNão se aplica</t>
  </si>
  <si>
    <t>44713A4VerdeNão se aplicaNão se aplicaNão se aplicaNão se aplicaNão se aplica</t>
  </si>
  <si>
    <t>44378A4VerdeNão se aplicaNão se aplicaNão se aplicaNão se aplicaPonta</t>
  </si>
  <si>
    <t>44409A4VerdeNão se aplicaNão se aplicaNão se aplicaNão se aplicaPonta</t>
  </si>
  <si>
    <t>44440A4VerdeNão se aplicaNão se aplicaNão se aplicaNão se aplicaPonta</t>
  </si>
  <si>
    <t>44470A4VerdeNão se aplicaNão se aplicaNão se aplicaNão se aplicaPonta</t>
  </si>
  <si>
    <t>44501A4VerdeNão se aplicaNão se aplicaNão se aplicaNão se aplicaPonta</t>
  </si>
  <si>
    <t>44531A4VerdeNão se aplicaNão se aplicaNão se aplicaNão se aplicaPonta</t>
  </si>
  <si>
    <t>44562A4VerdeNão se aplicaNão se aplicaNão se aplicaNão se aplicaPonta</t>
  </si>
  <si>
    <t>44593A4VerdeNão se aplicaNão se aplicaNão se aplicaNão se aplicaPonta</t>
  </si>
  <si>
    <t>44621A4VerdeNão se aplicaNão se aplicaNão se aplicaNão se aplicaPonta</t>
  </si>
  <si>
    <t>44652A4VerdeNão se aplicaNão se aplicaNão se aplicaNão se aplicaPonta</t>
  </si>
  <si>
    <t>44682A4VerdeNão se aplicaNão se aplicaNão se aplicaNão se aplicaPonta</t>
  </si>
  <si>
    <t>44713A4VerdeNão se aplicaNão se aplicaNão se aplicaNão se aplicaPonta</t>
  </si>
  <si>
    <t>44378B1BrancaResidencialResidencialNão se aplicaNão se aplicaFora ponta</t>
  </si>
  <si>
    <t>44409B1BrancaResidencialResidencialNão se aplicaNão se aplicaFora ponta</t>
  </si>
  <si>
    <t>44440B1BrancaResidencialResidencialNão se aplicaNão se aplicaFora ponta</t>
  </si>
  <si>
    <t>44470B1BrancaResidencialResidencialNão se aplicaNão se aplicaFora ponta</t>
  </si>
  <si>
    <t>44501B1BrancaResidencialResidencialNão se aplicaNão se aplicaFora ponta</t>
  </si>
  <si>
    <t>44531B1BrancaResidencialResidencialNão se aplicaNão se aplicaFora ponta</t>
  </si>
  <si>
    <t>44562B1BrancaResidencialResidencialNão se aplicaNão se aplicaFora ponta</t>
  </si>
  <si>
    <t>44593B1BrancaResidencialResidencialNão se aplicaNão se aplicaFora ponta</t>
  </si>
  <si>
    <t>44621B1BrancaResidencialResidencialNão se aplicaNão se aplicaFora ponta</t>
  </si>
  <si>
    <t>44378B1BrancaResidencialResidencialNão se aplicaNão se aplicaIntermediário</t>
  </si>
  <si>
    <t>44409B1BrancaResidencialResidencialNão se aplicaNão se aplicaIntermediário</t>
  </si>
  <si>
    <t>44440B1BrancaResidencialResidencialNão se aplicaNão se aplicaIntermediário</t>
  </si>
  <si>
    <t>44470B1BrancaResidencialResidencialNão se aplicaNão se aplicaIntermediário</t>
  </si>
  <si>
    <t>44501B1BrancaResidencialResidencialNão se aplicaNão se aplicaIntermediário</t>
  </si>
  <si>
    <t>44531B1BrancaResidencialResidencialNão se aplicaNão se aplicaIntermediário</t>
  </si>
  <si>
    <t>44562B1BrancaResidencialResidencialNão se aplicaNão se aplicaIntermediário</t>
  </si>
  <si>
    <t>44593B1BrancaResidencialResidencialNão se aplicaNão se aplicaIntermediário</t>
  </si>
  <si>
    <t>44621B1BrancaResidencialResidencialNão se aplicaNão se aplicaIntermediário</t>
  </si>
  <si>
    <t>44378B1BrancaResidencialResidencialNão se aplicaNão se aplicaPonta</t>
  </si>
  <si>
    <t>44409B1BrancaResidencialResidencialNão se aplicaNão se aplicaPonta</t>
  </si>
  <si>
    <t>44440B1BrancaResidencialResidencialNão se aplicaNão se aplicaPonta</t>
  </si>
  <si>
    <t>44470B1BrancaResidencialResidencialNão se aplicaNão se aplicaPonta</t>
  </si>
  <si>
    <t>44501B1BrancaResidencialResidencialNão se aplicaNão se aplicaPonta</t>
  </si>
  <si>
    <t>44531B1BrancaResidencialResidencialNão se aplicaNão se aplicaPonta</t>
  </si>
  <si>
    <t>44562B1BrancaResidencialResidencialNão se aplicaNão se aplicaPonta</t>
  </si>
  <si>
    <t>44593B1BrancaResidencialResidencialNão se aplicaNão se aplicaPonta</t>
  </si>
  <si>
    <t>44621B1BrancaResidencialResidencialNão se aplicaNão se aplicaPonta</t>
  </si>
  <si>
    <t>44378B1ConvencionalResidencialResidencialNão se aplicaNão se aplicaNão se aplica</t>
  </si>
  <si>
    <t>44409B1ConvencionalResidencialResidencialNão se aplicaNão se aplicaNão se aplica</t>
  </si>
  <si>
    <t>44440B1ConvencionalResidencialResidencialNão se aplicaNão se aplicaNão se aplica</t>
  </si>
  <si>
    <t>44470B1ConvencionalResidencialResidencialNão se aplicaNão se aplicaNão se aplica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</si>
  <si>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</si>
  <si>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</si>
  <si>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</si>
  <si>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</si>
  <si>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</si>
  <si>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44652B1ConvencionalResidencialResidencialNão se aplicaNão se aplicaNão se aplica</t>
  </si>
  <si>
    <t>44682B1ConvencionalResidencialResidencialNão se aplicaNão se aplicaNão se aplica</t>
  </si>
  <si>
    <t>44713B1ConvencionalResidencialResidencialNão se aplicaNão se aplicaNão se aplica</t>
  </si>
  <si>
    <t>44378B1ConvencionalResidencialResidencial baixa renda – faixa 01Não se aplicaNão se aplicaNão se aplica</t>
  </si>
  <si>
    <t>44409B1ConvencionalResidencialResidencial baixa renda – faixa 01Não se aplicaNão se aplicaNão se aplica</t>
  </si>
  <si>
    <t>44440B1ConvencionalResidencialResidencial baixa renda – faixa 01Não se aplicaNão se aplicaNão se aplica</t>
  </si>
  <si>
    <t>44470B1ConvencionalResidencialResidencial baixa renda – faixa 01Não se aplicaNão se aplicaNão se aplica</t>
  </si>
  <si>
    <t>44501B1ConvencionalResidencialResidencial baixa renda – faixa 01Não se aplicaNão se aplicaNão se aplica</t>
  </si>
  <si>
    <t>44531B1ConvencionalResidencialResidencial baixa renda – faixa 01Não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</si>
  <si>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</si>
  <si>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</si>
  <si>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</si>
  <si>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44652B1ConvencionalResidencialResidencial baixa renda – faixa 01Não se aplicaNão se aplicaNão se aplica</t>
  </si>
  <si>
    <t>44682B1ConvencionalResidencialResidencial baixa renda – faixa 01Não se aplicaNão se aplicaNão se aplica</t>
  </si>
  <si>
    <t>44713B1ConvencionalResidencialResidencial baixa renda – faixa 01Não se aplicaNão se aplicaNão se aplica</t>
  </si>
  <si>
    <t>44378B1ConvencionalResidencialResidencial baixa renda – faixa 02Não se aplicaNão se aplicaNão se aplica</t>
  </si>
  <si>
    <t>44409B1ConvencionalResidencialResidencial baixa renda – faixa 02Não se aplicaNão se aplicaNão se aplica</t>
  </si>
  <si>
    <t>44440B1ConvencionalResidencialResidencial baixa renda – faixa 02Não se aplicaNão se aplicaNão se aplica</t>
  </si>
  <si>
    <t>44470B1ConvencionalResidencialResidencial baixa renda – faixa 02Não se aplicaNão se aplicaNão se aplica</t>
  </si>
  <si>
    <t>44501B1ConvencionalResidencialResidencial baixa renda – faixa 02Não se aplicaNão se aplicaNão se aplica</t>
  </si>
  <si>
    <t>44531B1ConvencionalResidencialResidencial baixa renda – faixa 02Não se aplicaNão se aplicaNão se aplica</t>
  </si>
  <si>
    <t>44562B1ConvencionalResidencialResidencial baixa renda – faixa 02Não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</si>
  <si>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</si>
  <si>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</si>
  <si>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44652B1ConvencionalResidencialResidencial baixa renda – faixa 02Não se aplicaNão se aplicaNão se aplica</t>
  </si>
  <si>
    <t>44682B1ConvencionalResidencialResidencial baixa renda – faixa 02Não se aplicaNão se aplicaNão se aplica</t>
  </si>
  <si>
    <t>44713B1ConvencionalResidencialResidencial baixa renda – faixa 02Não se aplicaNão se aplicaNão se aplica</t>
  </si>
  <si>
    <t>44378B1ConvencionalResidencialResidencial baixa renda – faixa 03Não se aplicaNão se aplicaNão se aplica</t>
  </si>
  <si>
    <t>44409B1ConvencionalResidencialResidencial baixa renda – faixa 03Não se aplicaNão se aplicaNão se aplica</t>
  </si>
  <si>
    <t>44440B1ConvencionalResidencialResidencial baixa renda – faixa 03Não se aplicaNão se aplicaNão se aplica</t>
  </si>
  <si>
    <t>44470B1ConvencionalResidencialResidencial baixa renda – faixa 03Não se aplicaNão se aplicaNão se aplica</t>
  </si>
  <si>
    <t>44501B1ConvencionalResidencialResidencial baixa renda – faixa 03Não se aplicaNão se aplicaNão se aplica</t>
  </si>
  <si>
    <t>44531B1ConvencionalResidencialResidencial baixa renda – faixa 03Não se aplicaNão se aplicaNão se aplica</t>
  </si>
  <si>
    <t>44562B1ConvencionalResidencialResidencial baixa renda – faixa 03Não se aplicaNão se aplicaNão se aplica</t>
  </si>
  <si>
    <t>44593B1ConvencionalResidencialResidencial baixa renda – faixa 03Não se aplicaNão se aplicaNão se aplica</t>
  </si>
  <si>
    <t>44621B1ConvencionalResidencialResidencial baixa renda – faixa 03Não se aplicaNão se aplicaNão se aplica</t>
  </si>
  <si>
    <t>44652B1ConvencionalResidencialResidencial baixa renda – faixa 03Não se aplicaNão se aplicaNão se aplica</t>
  </si>
  <si>
    <t>44682B1ConvencionalResidencialResidencial baixa renda – faixa 03Não se aplicaNão se aplicaNão se aplica</t>
  </si>
  <si>
    <t>44713B1ConvencionalResidencialResidencial baixa renda – faixa 03Não se aplicaNão se aplicaNão se aplica</t>
  </si>
  <si>
    <t>44378B1ConvencionalResidencialResidencial baixa renda – faixa 04Não se aplicaNão se aplicaNão se aplica</t>
  </si>
  <si>
    <t>44409B1ConvencionalResidencialResidencial baixa renda – faixa 04Não se aplicaNão se aplicaNão se aplica</t>
  </si>
  <si>
    <t>44440B1ConvencionalResidencialResidencial baixa renda – faixa 04Não se aplicaNão se aplicaNão se aplica</t>
  </si>
  <si>
    <t>44470B1ConvencionalResidencialResidencial baixa renda – faixa 04Não se aplicaNão se aplicaNão se aplica</t>
  </si>
  <si>
    <t>44501B1ConvencionalResidencialResidencial baixa renda – faixa 04Não se aplicaNão se aplicaNão se aplica</t>
  </si>
  <si>
    <t>44531B1ConvencionalResidencialResidencial baixa renda – faixa 04Não se aplicaNão se aplicaNão se aplica</t>
  </si>
  <si>
    <t>44562B1ConvencionalResidencialResidencial baixa renda – faixa 04Não se aplicaNão se aplicaNão se aplica</t>
  </si>
  <si>
    <t>44593B1ConvencionalResidencialResidencial baixa renda – faixa 04Não se aplicaNão se aplicaNão se aplica</t>
  </si>
  <si>
    <t>44621B1ConvencionalResidencialResidencial baixa renda – faixa 04Não se aplicaNão se aplicaNão se aplica</t>
  </si>
  <si>
    <t>44652B1ConvencionalResidencialResidencial baixa renda – faixa 04Não se aplicaNão se aplicaNão se aplica</t>
  </si>
  <si>
    <t>44682B1ConvencionalResidencialResidencial baixa renda – faixa 04Não se aplicaNão se aplicaNão se aplica</t>
  </si>
  <si>
    <t>44713B1ConvencionalResidencialResidencial baixa renda – faixa 04Não se aplicaNão se aplicaNão se aplica</t>
  </si>
  <si>
    <t>44378B2ConvencionalRuralNão se aplicaNão se aplicaNão se aplicaNão se aplica</t>
  </si>
  <si>
    <t>44409B2ConvencionalRuralNão se aplicaNão se aplicaNão se aplicaNão se aplica</t>
  </si>
  <si>
    <t>44440B2ConvencionalRuralNão se aplicaNão se aplicaNão se aplicaNão se aplica</t>
  </si>
  <si>
    <t>44470B2ConvencionalRuralNão se aplicaNão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</si>
  <si>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</si>
  <si>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</si>
  <si>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44562B2ConvencionalRuralNão se aplicaNão se aplicaNão se aplicaNão se aplica</t>
  </si>
  <si>
    <t>44593B2ConvencionalRuralNão se aplicaNão se aplicaNão se aplicaNão se aplica</t>
  </si>
  <si>
    <t>44621B2ConvencionalRuralNão se aplicaNão se aplicaNão se aplicaNão se aplica</t>
  </si>
  <si>
    <t>44652B2ConvencionalRuralNão se aplicaNão se aplicaNão se aplicaNão se aplica</t>
  </si>
  <si>
    <t>44682B2ConvencionalRuralNão se aplicaNão se aplicaNão se aplicaNão se aplica</t>
  </si>
  <si>
    <t>44713B2ConvencionalRuralNão se aplicaNão se aplicaNão se aplicaNão se aplica</t>
  </si>
  <si>
    <t>44378B3ConvencionalNão se aplicaNão se aplicaNão se aplicaNão se aplicaNão se aplica</t>
  </si>
  <si>
    <t>44409B3ConvencionalNão se aplicaNão se aplicaNão se aplicaNão se aplicaNão se aplica</t>
  </si>
  <si>
    <t>44440B3ConvencionalNão se aplicaNão se aplicaNão se aplicaNão se aplicaNão se aplica</t>
  </si>
  <si>
    <t>44470B3ConvencionalNão se aplicaNão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</si>
  <si>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</si>
  <si>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</si>
  <si>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</si>
  <si>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</si>
  <si>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</si>
  <si>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44652B3ConvencionalNão se aplicaNão se aplicaNão se aplicaNão se aplicaNão se aplica</t>
  </si>
  <si>
    <t>44682B3ConvencionalNão se aplicaNão se aplicaNão se aplicaNão se aplicaNão se aplica</t>
  </si>
  <si>
    <t>44713B3ConvencionalNão se aplicaNão se aplicaNão se aplicaNão se aplicaNão se aplica</t>
  </si>
  <si>
    <t>44378B4ConvencionalIluminação públicaIluminação pública – B4aNão se aplicaNão se aplicaNão se aplica</t>
  </si>
  <si>
    <t>44409B4ConvencionalIluminação públicaIluminação pública – B4aNão se aplicaNão se aplicaNão se aplica</t>
  </si>
  <si>
    <t>44440B4ConvencionalIluminação públicaIluminação pública – B4aNão se aplicaNão se aplicaNão se aplica</t>
  </si>
  <si>
    <t>44470B4ConvencionalIluminação públicaIluminação pública – B4aNão se aplicaNão se aplicaNão se aplica</t>
  </si>
  <si>
    <t>44501B4ConvencionalIluminação públicaIluminação pública – B4aNão se aplicaNão se aplicaNão se aplica</t>
  </si>
  <si>
    <t>44531B4ConvencionalIluminação públicaIluminação pública – B4aNão se aplicaNão se aplicaNão se aplica</t>
  </si>
  <si>
    <t>44562B4ConvencionalIluminação públicaIluminação pública – B4aNão se aplicaNão se aplicaNão se aplica</t>
  </si>
  <si>
    <t>44593B4ConvencionalIluminação públicaIluminação pública – B4aNão se aplicaNão se aplicaNão se aplica</t>
  </si>
  <si>
    <t>44621B4ConvencionalIluminação públicaIluminação pública – B4aNão se aplicaNão se aplicaNão se aplica</t>
  </si>
  <si>
    <t>44652B4ConvencionalIluminação públicaIluminação pública – B4aNão se aplicaNão se aplicaNão se aplica</t>
  </si>
  <si>
    <t>44682B4ConvencionalIluminação públicaIluminação pública – B4aNão se aplicaNão se aplicaNão se aplica</t>
  </si>
  <si>
    <t>44713B4ConvencionalIluminação públicaIluminação pública – B4aNão se aplicaNão se aplicaNão se aplica</t>
  </si>
  <si>
    <t>CHAVE TE</t>
  </si>
  <si>
    <t>44378A4Energia horáriaNão se aplicaNão se aplicaNão se aplicaNão se aplicaFora ponta</t>
  </si>
  <si>
    <t>44409A4Energia horáriaNão se aplicaNão se aplicaNão se aplicaNão se aplicaFora ponta</t>
  </si>
  <si>
    <t>44440A4Energia horáriaNão se aplicaNão se aplicaNão se aplicaNão se aplicaFora ponta</t>
  </si>
  <si>
    <t>44470A4Energia horáriaNão se aplicaNão se aplicaNão se aplicaNão se aplicaFora ponta</t>
  </si>
  <si>
    <t>44501A4Energia horáriaNão se aplicaNão se aplicaNão se aplicaNão se aplicaFora ponta</t>
  </si>
  <si>
    <t>44531A4Energia horáriaNão se aplicaNão se aplicaNão se aplicaNão se aplicaFora ponta</t>
  </si>
  <si>
    <t>44562A4Energia horáriaNão se aplicaNão se aplicaNão se aplicaNão se aplicaFora ponta</t>
  </si>
  <si>
    <t>44593A4Energia horáriaNão se aplicaNão se aplicaNão se aplicaNão se aplicaFora ponta</t>
  </si>
  <si>
    <t>44621A4Energia horáriaNão se aplicaNão se aplicaNão se aplicaNão se aplicaFora ponta</t>
  </si>
  <si>
    <t>44652A4Energia horáriaNão se aplicaNão se aplicaNão se aplicaNão se aplicaFora ponta</t>
  </si>
  <si>
    <t>44682A4Energia horáriaNão se aplicaNão se aplicaNão se aplicaNão se aplicaFora ponta</t>
  </si>
  <si>
    <t>44713A4Energia horáriaNão se aplicaNão se aplicaNão se aplicaNão se aplicaFora ponta</t>
  </si>
  <si>
    <t>CUIDADO</t>
  </si>
  <si>
    <t>Desculpe, mas não foi encontrado posto Não se aplica, modalidade Energia horária, subgrupo A4 no banco de regras.</t>
  </si>
  <si>
    <t>Mercado_Receita</t>
  </si>
  <si>
    <t>S</t>
  </si>
  <si>
    <t>44378A4Energia horáriaNão se aplicaNão se aplicaNão se aplicaNão se aplicaPonta</t>
  </si>
  <si>
    <t>44409A4Energia horáriaNão se aplicaNão se aplicaNão se aplicaNão se aplicaPonta</t>
  </si>
  <si>
    <t>44440A4Energia horáriaNão se aplicaNão se aplicaNão se aplicaNão se aplicaPonta</t>
  </si>
  <si>
    <t>44470A4Energia horáriaNão se aplicaNão se aplicaNão se aplicaNão se aplicaPonta</t>
  </si>
  <si>
    <t>44501A4Energia horáriaNão se aplicaNão se aplicaNão se aplicaNão se aplicaPonta</t>
  </si>
  <si>
    <t>44531A4Energia horáriaNão se aplicaNão se aplicaNão se aplicaNão se aplicaPonta</t>
  </si>
  <si>
    <t>44562A4Energia horáriaNão se aplicaNão se aplicaNão se aplicaNão se aplicaPonta</t>
  </si>
  <si>
    <t>44593A4Energia horáriaNão se aplicaNão se aplicaNão se aplicaNão se aplicaPonta</t>
  </si>
  <si>
    <t>44621A4Energia horáriaNão se aplicaNão se aplicaNão se aplicaNão se aplicaPonta</t>
  </si>
  <si>
    <t>44652A4Energia horáriaNão se aplicaNão se aplicaNão se aplicaNão se aplicaPonta</t>
  </si>
  <si>
    <t>44682A4Energia horáriaNão se aplicaNão se aplicaNão se aplicaNão se aplicaPonta</t>
  </si>
  <si>
    <t>44713A4Energia horáriaNão se aplicaNão se aplicaNão se aplicaNão se aplicaPonta</t>
  </si>
  <si>
    <t>44378B1Energia horáriaResidencialResidencialNão se aplicaNão se aplicaFora ponta</t>
  </si>
  <si>
    <t>44409B1Energia horáriaResidencialResidencialNão se aplicaNão se aplicaFora ponta</t>
  </si>
  <si>
    <t>44440B1Energia horáriaResidencialResidencialNão se aplicaNão se aplicaFora ponta</t>
  </si>
  <si>
    <t>44470B1Energia horáriaResidencialResidencialNão se aplicaNão se aplicaFora ponta</t>
  </si>
  <si>
    <t>44501B1Energia horáriaResidencialResidencialNão se aplicaNão se aplicaFora ponta</t>
  </si>
  <si>
    <t>44531B1Energia horáriaResidencialResidencialNão se aplicaNão se aplicaFora ponta</t>
  </si>
  <si>
    <t>44562B1Energia horáriaResidencialResidencialNão se aplicaNão se aplicaFora ponta</t>
  </si>
  <si>
    <t>44593B1Energia horáriaResidencialResidencialNão se aplicaNão se aplicaFora ponta</t>
  </si>
  <si>
    <t>44621B1Energia horáriaResidencialResidencialNão se aplicaNão se aplicaFora ponta</t>
  </si>
  <si>
    <t>44378B1Energia horáriaResidencialResidencialNão se aplicaNão se aplicaIntermediário</t>
  </si>
  <si>
    <t>44409B1Energia horáriaResidencialResidencialNão se aplicaNão se aplicaIntermediário</t>
  </si>
  <si>
    <t>44440B1Energia horáriaResidencialResidencialNão se aplicaNão se aplicaIntermediário</t>
  </si>
  <si>
    <t>44470B1Energia horáriaResidencialResidencialNão se aplicaNão se aplicaIntermediário</t>
  </si>
  <si>
    <t>44501B1Energia horáriaResidencialResidencialNão se aplicaNão se aplicaIntermediário</t>
  </si>
  <si>
    <t>44531B1Energia horáriaResidencialResidencialNão se aplicaNão se aplicaIntermediário</t>
  </si>
  <si>
    <t>44562B1Energia horáriaResidencialResidencialNão se aplicaNão se aplicaIntermediário</t>
  </si>
  <si>
    <t>44593B1Energia horáriaResidencialResidencialNão se aplicaNão se aplicaIntermediário</t>
  </si>
  <si>
    <t>44621B1Energia horáriaResidencialResidencialNão se aplicaNão se aplicaIntermediário</t>
  </si>
  <si>
    <t>44378B1Energia horáriaResidencialResidencialNão se aplicaNão se aplicaPonta</t>
  </si>
  <si>
    <t>44409B1Energia horáriaResidencialResidencialNão se aplicaNão se aplicaPonta</t>
  </si>
  <si>
    <t>44440B1Energia horáriaResidencialResidencialNão se aplicaNão se aplicaPonta</t>
  </si>
  <si>
    <t>44470B1Energia horáriaResidencialResidencialNão se aplicaNão se aplicaPonta</t>
  </si>
  <si>
    <t>44501B1Energia horáriaResidencialResidencialNão se aplicaNão se aplicaPonta</t>
  </si>
  <si>
    <t>44531B1Energia horáriaResidencialResidencialNão se aplicaNão se aplicaPonta</t>
  </si>
  <si>
    <t>44562B1Energia horáriaResidencialResidencialNão se aplicaNão se aplicaPonta</t>
  </si>
  <si>
    <t>44593B1Energia horáriaResidencialResidencialNão se aplicaNão se aplicaPonta</t>
  </si>
  <si>
    <t>44621B1Energia horáriaResidencialResidencialNão se aplicaNão se aplicaPonta</t>
  </si>
  <si>
    <t>44378B1Energia convencionalResidencialResidencialNão se aplicaNão se aplicaNão se aplica</t>
  </si>
  <si>
    <t>44409B1Energia convencionalResidencialResidencialNão se aplicaNão se aplicaNão se aplica</t>
  </si>
  <si>
    <t>44440B1Energia convencionalResidencialResidencialNão se aplicaNão se aplicaNão se aplica</t>
  </si>
  <si>
    <t>44470B1Energia convencionalResidencialResidencialNão se aplicaNão se aplicaNão se aplica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</si>
  <si>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</si>
  <si>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</si>
  <si>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</si>
  <si>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</si>
  <si>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</si>
  <si>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44652B1Energia convencionalResidencialResidencialNão se aplicaNão se aplicaNão se aplica</t>
  </si>
  <si>
    <t>44682B1Energia convencionalResidencialResidencialNão se aplicaNão se aplicaNão se aplica</t>
  </si>
  <si>
    <t>44713B1Energia convencionalResidencialResidencialNão se aplicaNão se aplicaNão se aplica</t>
  </si>
  <si>
    <t>44378B1Energia convencionalResidencialResidencial baixa renda – faixa 01Não se aplicaNão se aplicaNão se aplica</t>
  </si>
  <si>
    <t>44409B1Energia convencionalResidencialResidencial baixa renda – faixa 01Não se aplicaNão se aplicaNão se aplica</t>
  </si>
  <si>
    <t>44440B1Energia convencionalResidencialResidencial baixa renda – faixa 01Não se aplicaNão se aplicaNão se aplica</t>
  </si>
  <si>
    <t>44470B1Energia convencionalResidencialResidencial baixa renda – faixa 01Não se aplicaNão se aplicaNão se aplica</t>
  </si>
  <si>
    <t>44501B1Energia convencionalResidencialResidencial baixa renda – faixa 01Não se aplicaNão se aplicaNão se aplica</t>
  </si>
  <si>
    <t>44531B1Energia convencionalResidencialResidencial baixa renda – faixa 01Não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</si>
  <si>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</si>
  <si>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</si>
  <si>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</si>
  <si>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44652B1Energia convencionalResidencialResidencial baixa renda – faixa 01Não se aplicaNão se aplicaNão se aplica</t>
  </si>
  <si>
    <t>44682B1Energia convencionalResidencialResidencial baixa renda – faixa 01Não se aplicaNão se aplicaNão se aplica</t>
  </si>
  <si>
    <t>44713B1Energia convencionalResidencialResidencial baixa renda – faixa 01Não se aplicaNão se aplicaNão se aplica</t>
  </si>
  <si>
    <t>44378B1Energia convencionalResidencialResidencial baixa renda – faixa 02Não se aplicaNão se aplicaNão se aplica</t>
  </si>
  <si>
    <t>44409B1Energia convencionalResidencialResidencial baixa renda – faixa 02Não se aplicaNão se aplicaNão se aplica</t>
  </si>
  <si>
    <t>44440B1Energia convencionalResidencialResidencial baixa renda – faixa 02Não se aplicaNão se aplicaNão se aplica</t>
  </si>
  <si>
    <t>44470B1Energia convencionalResidencialResidencial baixa renda – faixa 02Não se aplicaNão se aplicaNão se aplica</t>
  </si>
  <si>
    <t>44501B1Energia convencionalResidencialResidencial baixa renda – faixa 02Não se aplicaNão se aplicaNão se aplica</t>
  </si>
  <si>
    <t>44531B1Energia convencionalResidencialResidencial baixa renda – faixa 02Não se aplicaNão se aplicaNão se aplica</t>
  </si>
  <si>
    <t>44562B1Energia convencionalResidencialResidencial baixa renda – faixa 02Não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</si>
  <si>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</si>
  <si>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</si>
  <si>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44652B1Energia convencionalResidencialResidencial baixa renda – faixa 02Não se aplicaNão se aplicaNão se aplica</t>
  </si>
  <si>
    <t>44682B1Energia convencionalResidencialResidencial baixa renda – faixa 02Não se aplicaNão se aplicaNão se aplica</t>
  </si>
  <si>
    <t>44713B1Energia convencionalResidencialResidencial baixa renda – faixa 02Não se aplicaNão se aplicaNão se aplica</t>
  </si>
  <si>
    <t>44378B1Energia convencionalResidencialResidencial baixa renda – faixa 03Não se aplicaNão se aplicaNão se aplica</t>
  </si>
  <si>
    <t>44409B1Energia convencionalResidencialResidencial baixa renda – faixa 03Não se aplicaNão se aplicaNão se aplica</t>
  </si>
  <si>
    <t>44440B1Energia convencionalResidencialResidencial baixa renda – faixa 03Não se aplicaNão se aplicaNão se aplica</t>
  </si>
  <si>
    <t>44470B1Energia convencionalResidencialResidencial baixa renda – faixa 03Não se aplicaNão se aplicaNão se aplica</t>
  </si>
  <si>
    <t>44501B1Energia convencionalResidencialResidencial baixa renda – faixa 03Não se aplicaNão se aplicaNão se aplica</t>
  </si>
  <si>
    <t>44531B1Energia convencionalResidencialResidencial baixa renda – faixa 03Não se aplicaNão se aplicaNão se aplica</t>
  </si>
  <si>
    <t>44562B1Energia convencionalResidencialResidencial baixa renda – faixa 03Não se aplicaNão se aplicaNão se aplica</t>
  </si>
  <si>
    <t>44593B1Energia convencionalResidencialResidencial baixa renda – faixa 03Não se aplicaNão se aplicaNão se aplica</t>
  </si>
  <si>
    <t>44621B1Energia convencionalResidencialResidencial baixa renda – faixa 03Não se aplicaNão se aplicaNão se aplica</t>
  </si>
  <si>
    <t>44652B1Energia convencionalResidencialResidencial baixa renda – faixa 03Não se aplicaNão se aplicaNão se aplica</t>
  </si>
  <si>
    <t>44682B1Energia convencionalResidencialResidencial baixa renda – faixa 03Não se aplicaNão se aplicaNão se aplica</t>
  </si>
  <si>
    <t>44713B1Energia convencionalResidencialResidencial baixa renda – faixa 03Não se aplicaNão se aplicaNão se aplica</t>
  </si>
  <si>
    <t>44378B1Energia convencionalResidencialResidencial baixa renda – faixa 04Não se aplicaNão se aplicaNão se aplica</t>
  </si>
  <si>
    <t>44409B1Energia convencionalResidencialResidencial baixa renda – faixa 04Não se aplicaNão se aplicaNão se aplica</t>
  </si>
  <si>
    <t>44440B1Energia convencionalResidencialResidencial baixa renda – faixa 04Não se aplicaNão se aplicaNão se aplica</t>
  </si>
  <si>
    <t>44470B1Energia convencionalResidencialResidencial baixa renda – faixa 04Não se aplicaNão se aplicaNão se aplica</t>
  </si>
  <si>
    <t>44501B1Energia convencionalResidencialResidencial baixa renda – faixa 04Não se aplicaNão se aplicaNão se aplica</t>
  </si>
  <si>
    <t>44531B1Energia convencionalResidencialResidencial baixa renda – faixa 04Não se aplicaNão se aplicaNão se aplica</t>
  </si>
  <si>
    <t>44562B1Energia convencionalResidencialResidencial baixa renda – faixa 04Não se aplicaNão se aplicaNão se aplica</t>
  </si>
  <si>
    <t>44593B1Energia convencionalResidencialResidencial baixa renda – faixa 04Não se aplicaNão se aplicaNão se aplica</t>
  </si>
  <si>
    <t>44621B1Energia convencionalResidencialResidencial baixa renda – faixa 04Não se aplicaNão se aplicaNão se aplica</t>
  </si>
  <si>
    <t>44652B1Energia convencionalResidencialResidencial baixa renda – faixa 04Não se aplicaNão se aplicaNão se aplica</t>
  </si>
  <si>
    <t>44682B1Energia convencionalResidencialResidencial baixa renda – faixa 04Não se aplicaNão se aplicaNão se aplica</t>
  </si>
  <si>
    <t>44713B1Energia convencionalResidencialResidencial baixa renda – faixa 04Não se aplicaNão se aplicaNão se aplica</t>
  </si>
  <si>
    <t>44378B2Energia convencionalRuralNão se aplicaNão se aplicaNão se aplicaNão se aplica</t>
  </si>
  <si>
    <t>44409B2Energia convencionalRuralNão se aplicaNão se aplicaNão se aplicaNão se aplica</t>
  </si>
  <si>
    <t>44440B2Energia convencionalRuralNão se aplicaNão se aplicaNão se aplicaNão se aplica</t>
  </si>
  <si>
    <t>44470B2Energia convencionalRuralNão se aplicaNão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</si>
  <si>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</si>
  <si>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</si>
  <si>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44562B2Energia convencionalRuralNão se aplicaNão se aplicaNão se aplicaNão se aplica</t>
  </si>
  <si>
    <t>44593B2Energia convencionalRuralNão se aplicaNão se aplicaNão se aplicaNão se aplica</t>
  </si>
  <si>
    <t>44621B2Energia convencionalRuralNão se aplicaNão se aplicaNão se aplicaNão se aplica</t>
  </si>
  <si>
    <t>44652B2Energia convencionalRuralNão se aplicaNão se aplicaNão se aplicaNão se aplica</t>
  </si>
  <si>
    <t>44682B2Energia convencionalRuralNão se aplicaNão se aplicaNão se aplicaNão se aplica</t>
  </si>
  <si>
    <t>44713B2Energia convencionalRuralNão se aplicaNão se aplicaNão se aplicaNão se aplica</t>
  </si>
  <si>
    <t>44378B3Energia convencionalNão se aplicaNão se aplicaNão se aplicaNão se aplicaNão se aplica</t>
  </si>
  <si>
    <t>44409B3Energia convencionalNão se aplicaNão se aplicaNão se aplicaNão se aplicaNão se aplica</t>
  </si>
  <si>
    <t>44440B3Energia convencionalNão se aplicaNão se aplicaNão se aplicaNão se aplicaNão se aplica</t>
  </si>
  <si>
    <t>44470B3Energia convencionalNão se aplicaNão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</si>
  <si>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</si>
  <si>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</si>
  <si>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</si>
  <si>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</si>
  <si>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</si>
  <si>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44652B3Energia convencionalNão se aplicaNão se aplicaNão se aplicaNão se aplicaNão se aplica</t>
  </si>
  <si>
    <t>44682B3Energia convencionalNão se aplicaNão se aplicaNão se aplicaNão se aplicaNão se aplica</t>
  </si>
  <si>
    <t>44713B3Energia convencionalNão se aplicaNão se aplicaNão se aplicaNão se aplicaNão se aplica</t>
  </si>
  <si>
    <t>44378B4Energia convencionalIluminação públicaIluminação pública – B4aNão se aplicaNão se aplicaNão se aplica</t>
  </si>
  <si>
    <t>44409B4Energia convencionalIluminação públicaIluminação pública – B4aNão se aplicaNão se aplicaNão se aplica</t>
  </si>
  <si>
    <t>44440B4Energia convencionalIluminação públicaIluminação pública – B4aNão se aplicaNão se aplicaNão se aplica</t>
  </si>
  <si>
    <t>44470B4Energia convencionalIluminação públicaIluminação pública – B4aNão se aplicaNão se aplicaNão se aplica</t>
  </si>
  <si>
    <t>44501B4Energia convencionalIluminação públicaIluminação pública – B4aNão se aplicaNão se aplicaNão se aplica</t>
  </si>
  <si>
    <t>44531B4Energia convencionalIluminação públicaIluminação pública – B4aNão se aplicaNão se aplicaNão se aplica</t>
  </si>
  <si>
    <t>44562B4Energia convencionalIluminação públicaIluminação pública – B4aNão se aplicaNão se aplicaNão se aplica</t>
  </si>
  <si>
    <t>44593B4Energia convencionalIluminação públicaIluminação pública – B4aNão se aplicaNão se aplicaNão se aplica</t>
  </si>
  <si>
    <t>44621B4Energia convencionalIluminação públicaIluminação pública – B4aNão se aplicaNão se aplicaNão se aplica</t>
  </si>
  <si>
    <t>44652B4Energia convencionalIluminação públicaIluminação pública – B4aNão se aplicaNão se aplicaNão se aplica</t>
  </si>
  <si>
    <t>44682B4Energia convencionalIluminação públicaIluminação pública – B4aNão se aplicaNão se aplicaNão se aplica</t>
  </si>
  <si>
    <t>44713B4Energia convencionalIluminação públicaIluminação pública – B4aNão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</si>
  <si>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</si>
  <si>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</si>
  <si>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</si>
  <si>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</si>
  <si>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</si>
  <si>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</si>
  <si>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</si>
  <si>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</si>
  <si>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</si>
  <si>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</si>
  <si>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</si>
  <si>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</si>
  <si>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</si>
  <si>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</si>
  <si>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</si>
  <si>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</si>
  <si>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</si>
  <si>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</si>
  <si>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</si>
  <si>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</si>
  <si>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</si>
  <si>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</si>
  <si>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</si>
  <si>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</si>
  <si>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</si>
  <si>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</si>
  <si>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</si>
  <si>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</si>
  <si>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</si>
  <si>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</si>
  <si>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</si>
  <si>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</si>
  <si>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CDE ELET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</si>
  <si>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</si>
  <si>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</si>
  <si>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</si>
  <si>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</si>
  <si>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</si>
  <si>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</si>
  <si>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</si>
  <si>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</si>
  <si>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</si>
  <si>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</si>
  <si>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</si>
  <si>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</si>
  <si>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</si>
  <si>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</si>
  <si>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</si>
  <si>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</si>
  <si>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</si>
  <si>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</si>
  <si>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</si>
  <si>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</si>
  <si>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</si>
  <si>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</si>
  <si>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</si>
  <si>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</si>
  <si>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</si>
  <si>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</si>
  <si>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</si>
  <si>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</si>
  <si>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</si>
  <si>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</si>
  <si>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</si>
  <si>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</si>
  <si>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</si>
  <si>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</si>
  <si>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</si>
  <si>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</si>
  <si>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</si>
  <si>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</si>
  <si>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</si>
  <si>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</si>
  <si>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</si>
  <si>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</si>
  <si>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</si>
  <si>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</si>
  <si>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</si>
  <si>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</si>
  <si>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</si>
  <si>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</si>
  <si>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</si>
  <si>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</si>
  <si>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</si>
  <si>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</si>
  <si>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</si>
  <si>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</si>
  <si>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</si>
  <si>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</si>
  <si>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</si>
  <si>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</si>
  <si>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</si>
  <si>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</si>
  <si>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</si>
  <si>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</si>
  <si>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</si>
  <si>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</si>
  <si>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</si>
  <si>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</si>
  <si>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</si>
  <si>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</si>
  <si>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2.910, DE 27 DE JULHO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</si>
  <si>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</si>
  <si>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</si>
  <si>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</si>
  <si>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</si>
  <si>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</si>
  <si>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</si>
  <si>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</si>
  <si>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</si>
  <si>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</si>
  <si>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</si>
  <si>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</si>
  <si>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</si>
  <si>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</si>
  <si>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</si>
  <si>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</si>
  <si>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</si>
  <si>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</si>
  <si>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</si>
  <si>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</si>
  <si>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</si>
  <si>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</si>
  <si>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</si>
  <si>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</si>
  <si>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</si>
  <si>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</si>
  <si>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</si>
  <si>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</si>
  <si>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</si>
  <si>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</si>
  <si>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</si>
  <si>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</si>
  <si>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</si>
  <si>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</si>
  <si>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</si>
  <si>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</si>
  <si>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</si>
  <si>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</si>
  <si>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</si>
  <si>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</si>
  <si>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</si>
  <si>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</si>
  <si>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</si>
  <si>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</si>
  <si>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</si>
  <si>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Energia</t>
  </si>
  <si>
    <t>Ativa</t>
  </si>
  <si>
    <t>Potência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</si>
  <si>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</si>
  <si>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</si>
  <si>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</si>
  <si>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</si>
  <si>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</si>
  <si>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</si>
  <si>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</si>
  <si>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</si>
  <si>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</si>
  <si>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</si>
  <si>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</si>
  <si>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</si>
  <si>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</si>
  <si>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</si>
  <si>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</si>
  <si>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</si>
  <si>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</si>
  <si>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</si>
  <si>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</si>
  <si>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Planilha CUSTO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</si>
  <si>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</si>
  <si>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</si>
  <si>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</si>
  <si>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</si>
  <si>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</si>
  <si>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</si>
  <si>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</si>
  <si>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</si>
  <si>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</si>
  <si>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</si>
  <si>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</si>
  <si>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</si>
  <si>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</si>
  <si>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</si>
  <si>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</si>
  <si>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</si>
  <si>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</si>
  <si>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</si>
  <si>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</si>
  <si>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</si>
  <si>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</si>
  <si>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</si>
  <si>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</si>
  <si>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</si>
  <si>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</si>
  <si>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</si>
  <si>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</si>
  <si>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</si>
  <si>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</si>
  <si>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</si>
  <si>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</si>
  <si>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</si>
  <si>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ÁGUA, ESGOTO E SANEAMENTO</t>
  </si>
  <si>
    <t>R$ (TV)</t>
  </si>
  <si>
    <t>R$ (TN)</t>
  </si>
  <si>
    <t>SUBSIDIO CARGA FONTE INCENTIVADA</t>
  </si>
  <si>
    <t>SUBSIDIO GERAÇÃO FONTE INCENTIVADA</t>
  </si>
  <si>
    <t>SUBSIDIO DISTRIBUIÇÃO</t>
  </si>
  <si>
    <t>SUBSIDIO IRRIGANTE/AQUICULTOR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</si>
  <si>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</si>
  <si>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</si>
  <si>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</si>
  <si>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</si>
  <si>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</si>
  <si>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</si>
  <si>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</si>
  <si>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</si>
  <si>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Branca1RuralNão se aplicaRuralB2</t>
  </si>
  <si>
    <t>2021</t>
  </si>
  <si>
    <t>Convencional1RuralNão se aplicaRuralB2</t>
  </si>
  <si>
    <t>Convencional1RuralCooperativa de eletrificação ruralPlanilha CUSTOB2</t>
  </si>
  <si>
    <t>Branca1RuralCooperativa de eletrificação ruralPlanilha CUSTOB2</t>
  </si>
  <si>
    <t>Convencional1RuralServiço público de irrigação ruralPlanilha CUSTOB2</t>
  </si>
  <si>
    <t>Branca1RuralServiço público de irrigação ruralPlanilha CUSTOB2</t>
  </si>
  <si>
    <t>Convencional1RuralNão se aplicaPlanilha CUSTOB2</t>
  </si>
  <si>
    <t>Convencional1Serviço públicoÁgua, esgoto e saneamentoPlanilha CUSTOB3</t>
  </si>
  <si>
    <t>Branca1Serviço públicoÁgua, esgoto e saneamentoPlanilha CUSTOB3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</si>
  <si>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</si>
  <si>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</si>
  <si>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</si>
  <si>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</si>
  <si>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</si>
  <si>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</si>
  <si>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</si>
  <si>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</si>
  <si>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</si>
  <si>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</si>
  <si>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</si>
  <si>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</si>
  <si>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</si>
  <si>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</si>
  <si>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</si>
  <si>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</si>
  <si>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</si>
  <si>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</si>
  <si>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</si>
  <si>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</si>
  <si>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</si>
  <si>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</si>
  <si>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</si>
  <si>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</si>
  <si>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</si>
  <si>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</si>
  <si>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</si>
  <si>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</si>
  <si>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</si>
  <si>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</si>
  <si>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</si>
  <si>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</si>
  <si>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</si>
  <si>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</si>
  <si>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</si>
  <si>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</si>
  <si>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</si>
  <si>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</si>
  <si>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</si>
  <si>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</si>
  <si>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</si>
  <si>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</si>
  <si>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</si>
  <si>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</si>
  <si>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</si>
  <si>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</si>
  <si>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</si>
  <si>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</si>
  <si>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</si>
  <si>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</si>
  <si>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</si>
  <si>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</si>
  <si>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</si>
  <si>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</si>
  <si>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</si>
  <si>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</si>
  <si>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</si>
  <si>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</si>
  <si>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</si>
  <si>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</si>
  <si>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</si>
  <si>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</si>
  <si>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</si>
  <si>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</si>
  <si>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</si>
  <si>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</si>
  <si>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</si>
  <si>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</si>
  <si>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</si>
  <si>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</si>
  <si>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</si>
  <si>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</si>
  <si>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</si>
  <si>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</si>
  <si>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</si>
  <si>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</si>
  <si>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</si>
  <si>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</si>
  <si>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</si>
  <si>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</si>
  <si>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</si>
  <si>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</si>
  <si>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</si>
  <si>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</si>
  <si>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</si>
  <si>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</si>
  <si>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</si>
  <si>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</si>
  <si>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</si>
  <si>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</si>
  <si>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</si>
  <si>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</si>
  <si>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</si>
  <si>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</si>
  <si>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</si>
  <si>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</si>
  <si>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</si>
  <si>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</si>
  <si>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</si>
  <si>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</si>
  <si>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</si>
  <si>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</si>
  <si>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</si>
  <si>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</si>
  <si>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</si>
  <si>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</si>
  <si>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</si>
  <si>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</si>
  <si>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</si>
  <si>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</si>
  <si>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</si>
  <si>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</si>
  <si>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</si>
  <si>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</si>
  <si>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</si>
  <si>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</si>
  <si>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</si>
  <si>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</si>
  <si>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</si>
  <si>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</si>
  <si>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</si>
  <si>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</si>
  <si>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</si>
  <si>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</si>
  <si>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</si>
  <si>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</si>
  <si>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</si>
  <si>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</si>
  <si>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</si>
  <si>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</si>
  <si>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</si>
  <si>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</si>
  <si>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</si>
  <si>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</si>
  <si>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</si>
  <si>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</si>
  <si>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</si>
  <si>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</si>
  <si>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</si>
  <si>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</si>
  <si>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</si>
  <si>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</si>
  <si>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</si>
  <si>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</si>
  <si>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</si>
  <si>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</si>
  <si>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</si>
  <si>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</si>
  <si>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</si>
  <si>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</si>
  <si>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</si>
  <si>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</si>
  <si>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</si>
  <si>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</si>
  <si>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</si>
  <si>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</si>
  <si>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</si>
  <si>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</si>
  <si>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</si>
  <si>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</si>
  <si>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</si>
  <si>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</si>
  <si>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</si>
  <si>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</si>
  <si>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</si>
  <si>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</si>
  <si>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</si>
  <si>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</si>
  <si>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</si>
  <si>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</si>
  <si>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</si>
  <si>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</si>
  <si>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</si>
  <si>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</si>
  <si>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</si>
  <si>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</si>
  <si>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</si>
  <si>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</si>
  <si>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</si>
  <si>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</si>
  <si>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</si>
  <si>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</si>
  <si>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</si>
  <si>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</si>
  <si>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</si>
  <si>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</si>
  <si>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</si>
  <si>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</si>
  <si>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</si>
  <si>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</si>
  <si>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</si>
  <si>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</si>
  <si>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</si>
  <si>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</si>
  <si>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</si>
  <si>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</si>
  <si>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</si>
  <si>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</si>
  <si>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</si>
  <si>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</si>
  <si>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</si>
  <si>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</si>
  <si>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</si>
  <si>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</si>
  <si>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</si>
  <si>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</si>
  <si>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</si>
  <si>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</si>
  <si>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</si>
  <si>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</si>
  <si>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</si>
  <si>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</si>
  <si>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</si>
  <si>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</si>
  <si>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</si>
  <si>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</si>
  <si>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</si>
  <si>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</si>
  <si>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</si>
  <si>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</si>
  <si>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</si>
  <si>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</si>
  <si>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</si>
  <si>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</si>
  <si>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</si>
  <si>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</si>
  <si>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</si>
  <si>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</si>
  <si>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</si>
  <si>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</si>
  <si>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</si>
  <si>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</si>
  <si>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</si>
  <si>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</si>
  <si>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</si>
  <si>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</si>
  <si>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</si>
  <si>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</si>
  <si>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</si>
  <si>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</si>
  <si>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</si>
  <si>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</si>
  <si>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</si>
  <si>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</si>
  <si>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</si>
  <si>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</si>
  <si>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</si>
  <si>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</si>
  <si>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A4Energia convencional</t>
  </si>
  <si>
    <t>A4Energia convencionalNão se aplica</t>
  </si>
  <si>
    <t>A4Energia convencionalNão se aplicaNão se aplica</t>
  </si>
  <si>
    <t>A4Energia convencionalNão se aplicaNão se aplicaNão se aplica</t>
  </si>
  <si>
    <t>A4Energia convencionalNão se aplicaNão se aplicaNão se aplicaNão se aplica</t>
  </si>
  <si>
    <t>A4Energia convencionalNão se aplicaNão se aplicaNão se aplicaNão se aplicaE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</si>
  <si>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</si>
  <si>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</si>
  <si>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</si>
  <si>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</si>
  <si>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</si>
  <si>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</si>
  <si>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</si>
  <si>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</si>
  <si>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</si>
  <si>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</si>
  <si>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</si>
  <si>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</si>
  <si>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</si>
  <si>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</si>
  <si>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</si>
  <si>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</si>
  <si>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</si>
  <si>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</si>
  <si>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</si>
  <si>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</si>
  <si>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</si>
  <si>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</si>
  <si>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</si>
  <si>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</si>
  <si>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</si>
  <si>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</si>
  <si>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</si>
  <si>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</si>
  <si>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</si>
  <si>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</si>
  <si>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</si>
  <si>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</si>
  <si>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</si>
  <si>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</si>
  <si>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</si>
  <si>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</si>
  <si>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</si>
  <si>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</si>
  <si>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</si>
  <si>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</si>
  <si>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</si>
  <si>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</si>
  <si>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</si>
  <si>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</si>
  <si>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</si>
  <si>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</si>
  <si>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</si>
  <si>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</si>
  <si>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</si>
  <si>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</si>
  <si>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</si>
  <si>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</si>
  <si>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</si>
  <si>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</si>
  <si>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</si>
  <si>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</si>
  <si>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</si>
  <si>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</si>
  <si>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</si>
  <si>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</si>
  <si>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</si>
  <si>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</si>
  <si>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</si>
  <si>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</si>
  <si>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</si>
  <si>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</si>
  <si>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</si>
  <si>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</si>
  <si>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</si>
  <si>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</si>
  <si>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</si>
  <si>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</si>
  <si>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</si>
  <si>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</si>
  <si>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</si>
  <si>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</si>
  <si>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</si>
  <si>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</si>
  <si>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</si>
  <si>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</si>
  <si>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</si>
  <si>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</si>
  <si>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</si>
  <si>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</si>
  <si>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</si>
  <si>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</si>
  <si>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</si>
  <si>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</si>
  <si>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</si>
  <si>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</si>
  <si>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</si>
  <si>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</si>
  <si>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</si>
  <si>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</si>
  <si>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</si>
  <si>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</si>
  <si>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</si>
  <si>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</si>
  <si>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</si>
  <si>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</si>
  <si>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</si>
  <si>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</si>
  <si>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</si>
  <si>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</si>
  <si>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</si>
  <si>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</si>
  <si>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</si>
  <si>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</si>
  <si>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</si>
  <si>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</si>
  <si>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</si>
  <si>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</si>
  <si>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</si>
  <si>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</si>
  <si>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</si>
  <si>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</si>
  <si>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</si>
  <si>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</si>
  <si>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</si>
  <si>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</si>
  <si>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</si>
  <si>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</si>
  <si>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</si>
  <si>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</si>
  <si>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</si>
  <si>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</si>
  <si>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</si>
  <si>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</si>
  <si>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</si>
  <si>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</si>
  <si>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</si>
  <si>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</si>
  <si>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</si>
  <si>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</si>
  <si>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</si>
  <si>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</si>
  <si>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</si>
  <si>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</si>
  <si>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</si>
  <si>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</si>
  <si>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</si>
  <si>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</si>
  <si>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</si>
  <si>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</si>
  <si>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</si>
  <si>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</si>
  <si>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</si>
  <si>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</si>
  <si>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</si>
  <si>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</si>
  <si>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</si>
  <si>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</si>
  <si>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</si>
  <si>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</si>
  <si>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</si>
  <si>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</si>
  <si>
    <t>Total TUSD</t>
  </si>
  <si>
    <t>Total TE</t>
  </si>
  <si>
    <t>TUSD_CDE_COVID</t>
  </si>
  <si>
    <t>TUSD_TFSEE</t>
  </si>
  <si>
    <t>TUSD_PeD</t>
  </si>
  <si>
    <t>TUSD_ONS</t>
  </si>
  <si>
    <t>TUSD_CCC</t>
  </si>
  <si>
    <t>TUSD_CDE</t>
  </si>
  <si>
    <t>TUSD_PROINFA</t>
  </si>
  <si>
    <t>Liminar1</t>
  </si>
  <si>
    <t>TUSD_RB</t>
  </si>
  <si>
    <t>TUSD_FR</t>
  </si>
  <si>
    <t>TUSD_CCT</t>
  </si>
  <si>
    <t>TUSD_CCD</t>
  </si>
  <si>
    <t>TUSD_CUSD</t>
  </si>
  <si>
    <t>TUSDG_T</t>
  </si>
  <si>
    <t>TUSDG_ONS</t>
  </si>
  <si>
    <t>TUSD_FioB</t>
  </si>
  <si>
    <t>TUSD Subsidio</t>
  </si>
  <si>
    <t>TUSD Outros</t>
  </si>
  <si>
    <t>TUSD_PT</t>
  </si>
  <si>
    <t>TUSD_Per_RB_D</t>
  </si>
  <si>
    <t>TUSD_PNT</t>
  </si>
  <si>
    <t>TUSD_RI</t>
  </si>
  <si>
    <t>TE_CDE_COVID</t>
  </si>
  <si>
    <t>TE_CDE_ELET</t>
  </si>
  <si>
    <t>TE_PeD</t>
  </si>
  <si>
    <t>TE_ESSERR</t>
  </si>
  <si>
    <t>TE_CFURH</t>
  </si>
  <si>
    <t>TE_ENERGIA</t>
  </si>
  <si>
    <t>TE_TRANSPORTE_ITAIPU</t>
  </si>
  <si>
    <t>TE_TUST_ITAIPU</t>
  </si>
  <si>
    <t>TE_TUST_CI</t>
  </si>
  <si>
    <t>TE Subsidio</t>
  </si>
  <si>
    <t>TE_Per_RB</t>
  </si>
  <si>
    <t>Baixa Renda</t>
  </si>
  <si>
    <t>Perdas</t>
  </si>
  <si>
    <t xml:space="preserve">TUSD </t>
  </si>
  <si>
    <t xml:space="preserve">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</si>
</sst>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_);[Red]\(#,##0.00%\)"/>
    <numFmt numFmtId="165" formatCode="#0.00%;[Red]#0.00%"/>
    <numFmt numFmtId="166" formatCode="0.00%_);[Red]\(0.00%\)"/>
    <numFmt numFmtId="167" formatCode="#,##0.00;[Red]#,##0.00"/>
    <numFmt numFmtId="168" formatCode="#,##0.00_ ;[Red]\-#,##0.00\ 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8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horizontal="left" vertical="center" indent="1"/>
    </xf>
    <xf numFmtId="40" fontId="3" fillId="0" borderId="1" xfId="0" quotePrefix="1" applyNumberFormat="1" applyFont="1" applyBorder="1" applyAlignment="1">
      <alignment horizontal="left" vertical="center" indent="1"/>
    </xf>
    <xf numFmtId="0" fontId="3" fillId="0" borderId="1" xfId="0" applyFont="1" applyBorder="1"/>
    <xf numFmtId="40" fontId="3" fillId="0" borderId="1" xfId="0" applyNumberFormat="1" applyFont="1" applyBorder="1"/>
    <xf numFmtId="40" fontId="3" fillId="0" borderId="1" xfId="0" applyNumberFormat="1" applyFont="1" applyBorder="1" applyAlignment="1">
      <alignment horizontal="center" vertical="center"/>
    </xf>
    <xf numFmtId="40" fontId="3" fillId="0" borderId="8" xfId="0" applyNumberFormat="1" applyFont="1" applyBorder="1" applyAlignment="1">
      <alignment horizontal="left" vertical="center"/>
    </xf>
    <xf numFmtId="40" fontId="3" fillId="0" borderId="8" xfId="0" applyNumberFormat="1" applyFont="1" applyBorder="1" applyAlignment="1">
      <alignment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40" fontId="3" fillId="0" borderId="13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40" fontId="1" fillId="2" borderId="0" xfId="0" applyNumberFormat="1" applyFont="1" applyFill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164" fontId="3" fillId="0" borderId="0" xfId="0" applyNumberFormat="1" applyFont="1"/>
    <xf numFmtId="10" fontId="3" fillId="0" borderId="0" xfId="0" applyNumberFormat="1" applyFont="1"/>
    <xf numFmtId="2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 indent="1"/>
    </xf>
    <xf numFmtId="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horizontal="left" vertical="center" indent="1"/>
    </xf>
    <xf numFmtId="10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 indent="1"/>
    </xf>
    <xf numFmtId="10" fontId="7" fillId="4" borderId="0" xfId="0" applyNumberFormat="1" applyFont="1" applyFill="1" applyAlignment="1">
      <alignment vertical="center"/>
    </xf>
    <xf numFmtId="0" fontId="8" fillId="5" borderId="15" xfId="0" applyFont="1" applyFill="1" applyBorder="1" applyAlignment="1">
      <alignment horizontal="center" vertical="center"/>
    </xf>
    <xf numFmtId="40" fontId="7" fillId="3" borderId="14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4" fontId="10" fillId="6" borderId="17" xfId="0" applyNumberFormat="1" applyFont="1" applyFill="1" applyBorder="1"/>
    <xf numFmtId="4" fontId="10" fillId="6" borderId="12" xfId="0" applyNumberFormat="1" applyFont="1" applyFill="1" applyBorder="1"/>
    <xf numFmtId="4" fontId="10" fillId="6" borderId="18" xfId="0" applyNumberFormat="1" applyFont="1" applyFill="1" applyBorder="1"/>
    <xf numFmtId="4" fontId="10" fillId="6" borderId="6" xfId="0" applyNumberFormat="1" applyFont="1" applyFill="1" applyBorder="1"/>
    <xf numFmtId="4" fontId="10" fillId="6" borderId="13" xfId="0" applyNumberFormat="1" applyFont="1" applyFill="1" applyBorder="1"/>
    <xf numFmtId="4" fontId="10" fillId="6" borderId="5" xfId="0" applyNumberFormat="1" applyFont="1" applyFill="1" applyBorder="1"/>
    <xf numFmtId="4" fontId="10" fillId="6" borderId="19" xfId="0" applyNumberFormat="1" applyFont="1" applyFill="1" applyBorder="1"/>
    <xf numFmtId="4" fontId="10" fillId="6" borderId="10" xfId="0" applyNumberFormat="1" applyFont="1" applyFill="1" applyBorder="1"/>
    <xf numFmtId="4" fontId="10" fillId="6" borderId="16" xfId="0" applyNumberFormat="1" applyFont="1" applyFill="1" applyBorder="1"/>
    <xf numFmtId="4" fontId="10" fillId="6" borderId="12" xfId="0" applyNumberFormat="1" applyFont="1" applyFill="1" applyBorder="1" applyAlignment="1">
      <alignment horizontal="center"/>
    </xf>
    <xf numFmtId="4" fontId="10" fillId="6" borderId="18" xfId="0" applyNumberFormat="1" applyFont="1" applyFill="1" applyBorder="1" applyAlignment="1">
      <alignment horizont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10" fillId="6" borderId="13" xfId="0" applyNumberFormat="1" applyFont="1" applyFill="1" applyBorder="1" applyAlignment="1">
      <alignment horizontal="center"/>
    </xf>
    <xf numFmtId="4" fontId="10" fillId="6" borderId="5" xfId="0" applyNumberFormat="1" applyFont="1" applyFill="1" applyBorder="1" applyAlignment="1">
      <alignment horizontal="center"/>
    </xf>
    <xf numFmtId="4" fontId="10" fillId="6" borderId="12" xfId="0" applyNumberFormat="1" applyFont="1" applyFill="1" applyBorder="1" applyAlignment="1">
      <alignment horizontal="center"/>
    </xf>
    <xf numFmtId="4" fontId="10" fillId="6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755"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9" formatCode="#,##0.00_);[Red]\(#,##0.00\)"/>
    </dxf>
    <dxf>
      <numFmt numFmtId="169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0%_);[Red]\(0.00%\)"/>
    </dxf>
    <dxf>
      <numFmt numFmtId="166" formatCode="0.00%_);[Red]\(0.00%\)"/>
    </dxf>
    <dxf>
      <numFmt numFmtId="169" formatCode="#,##0.00_);[Red]\(#,##0.00\)"/>
    </dxf>
    <dxf>
      <numFmt numFmtId="16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#,##0.00%_);[Red]\(#,##0.00%\)</c:formatCode>
                <c:ptCount val="22"/>
                <c:pt idx="0">
                  <c:v>0</c:v>
                </c:pt>
                <c:pt idx="1">
                  <c:v>1.0371275657985832E-3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6.0941499723708062E-2</c:v>
                </c:pt>
                <c:pt idx="6">
                  <c:v>1.0020616944087282E-2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6.7229019063433412E-2</c:v>
                </c:pt>
                <c:pt idx="13">
                  <c:v>0</c:v>
                </c:pt>
                <c:pt idx="14">
                  <c:v>0</c:v>
                </c:pt>
                <c:pt idx="15">
                  <c:v>0.10254163517629394</c:v>
                </c:pt>
                <c:pt idx="16">
                  <c:v>-2.1999435656693607E-2</c:v>
                </c:pt>
                <c:pt idx="17">
                  <c:v>0</c:v>
                </c:pt>
                <c:pt idx="18">
                  <c:v>-1.1661534169916412E-2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8-4E9C-B9DA-C2924DDF4A8E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#,##0.00%_);[Red]\(#,##0.00%\)</c:formatCode>
                <c:ptCount val="22"/>
                <c:pt idx="0">
                  <c:v>0</c:v>
                </c:pt>
                <c:pt idx="1">
                  <c:v>3.8622354201076276E-4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9.0893304391984314E-2</c:v>
                </c:pt>
                <c:pt idx="6">
                  <c:v>1.8655549676697601E-2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0.10529664141137586</c:v>
                </c:pt>
                <c:pt idx="13">
                  <c:v>0</c:v>
                </c:pt>
                <c:pt idx="14">
                  <c:v>0</c:v>
                </c:pt>
                <c:pt idx="15">
                  <c:v>7.4893740667911796E-2</c:v>
                </c:pt>
                <c:pt idx="16">
                  <c:v>-2.1690728634369893E-2</c:v>
                </c:pt>
                <c:pt idx="17">
                  <c:v>0</c:v>
                </c:pt>
                <c:pt idx="18">
                  <c:v>-3.9627289588848869E-3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8-4E9C-B9DA-C2924DDF4A8E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#,##0.00%_);[Red]\(#,##0.00%\)</c:formatCode>
                <c:ptCount val="22"/>
                <c:pt idx="0">
                  <c:v>0</c:v>
                </c:pt>
                <c:pt idx="1">
                  <c:v>3.8622354201076276E-4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9.0893304391984314E-2</c:v>
                </c:pt>
                <c:pt idx="6">
                  <c:v>1.8655549676697601E-2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0.10529664141137586</c:v>
                </c:pt>
                <c:pt idx="13">
                  <c:v>0</c:v>
                </c:pt>
                <c:pt idx="14">
                  <c:v>0</c:v>
                </c:pt>
                <c:pt idx="15">
                  <c:v>7.4893740667911796E-2</c:v>
                </c:pt>
                <c:pt idx="16">
                  <c:v>-2.1690728634369893E-2</c:v>
                </c:pt>
                <c:pt idx="17">
                  <c:v>0</c:v>
                </c:pt>
                <c:pt idx="18">
                  <c:v>-3.9627289588848869E-3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8-4E9C-B9DA-C2924DDF4A8E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5978-4E9C-B9DA-C2924DDF4A8E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5978-4E9C-B9DA-C2924DDF4A8E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5978-4E9C-B9DA-C2924DDF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91824"/>
        <c:axId val="1001794120"/>
      </c:radarChart>
      <c:catAx>
        <c:axId val="1001791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1794120"/>
        <c:crosses val="autoZero"/>
        <c:auto val="1"/>
        <c:lblAlgn val="ctr"/>
        <c:lblOffset val="100"/>
        <c:noMultiLvlLbl val="0"/>
      </c:catAx>
      <c:valAx>
        <c:axId val="1001794120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1001791824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TE'!$B$13:$L$13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-0.10194181156750774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-1.2907677907213212E-2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E-4193-94EF-F00B3C90A3BD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TE'!$B$14:$L$14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-0.10422347314506876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-1.2874883871018494E-2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E-4193-94EF-F00B3C90A3BD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TE'!$B$15:$L$15</c:f>
              <c:numCache>
                <c:formatCode>#,##0.00%_);[Red]\(#,##0.00%\)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-0.10422347314506876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-1.2874883871018494E-2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E-4193-94EF-F00B3C90A3BD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F3FE-4193-94EF-F00B3C90A3BD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F3FE-4193-94EF-F00B3C90A3BD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F3FE-4193-94EF-F00B3C90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20032"/>
        <c:axId val="1001809864"/>
      </c:radarChart>
      <c:catAx>
        <c:axId val="100182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1809864"/>
        <c:crosses val="autoZero"/>
        <c:auto val="1"/>
        <c:lblAlgn val="ctr"/>
        <c:lblOffset val="100"/>
        <c:noMultiLvlLbl val="0"/>
      </c:catAx>
      <c:valAx>
        <c:axId val="1001809864"/>
        <c:scaling>
          <c:orientation val="minMax"/>
        </c:scaling>
        <c:delete val="0"/>
        <c:axPos val="l"/>
        <c:majorGridlines/>
        <c:numFmt formatCode="#,##0.00%_);[Red]\(#,##0.00%\)" sourceLinked="1"/>
        <c:majorTickMark val="out"/>
        <c:minorTickMark val="none"/>
        <c:tickLblPos val="nextTo"/>
        <c:crossAx val="1001820032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228601</xdr:colOff>
      <xdr:row>16</xdr:row>
      <xdr:rowOff>0</xdr:rowOff>
    </xdr:from>
    <xdr:to>
      <xdr:col>16</xdr:col>
      <xdr:colOff>495301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36FFF-B975-A6B7-D751-4CE51FAD8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16</xdr:row>
      <xdr:rowOff>0</xdr:rowOff>
    </xdr:from>
    <xdr:to>
      <xdr:col>16</xdr:col>
      <xdr:colOff>247651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FC68B7-9BEE-47C7-415F-26D404C1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761.383731134258" createdVersion="5" refreshedVersion="8" minRefreshableVersion="3" recordCount="240" xr:uid="{0D689087-E260-47F3-817F-30D08B08420C}">
  <cacheSource type="worksheet">
    <worksheetSource name="Efeito"/>
  </cacheSource>
  <cacheFields count="36">
    <cacheField name="TipoMercado" numFmtId="0">
      <sharedItems/>
    </cacheField>
    <cacheField name="Subgrupo" numFmtId="0">
      <sharedItems count="5">
        <s v="A4"/>
        <s v="B1"/>
        <s v="B2"/>
        <s v="B3"/>
        <s v="B4"/>
      </sharedItems>
    </cacheField>
    <cacheField name="Modalidade" numFmtId="0">
      <sharedItems count="3">
        <s v="Verde"/>
        <s v="Branca"/>
        <s v="Convencional"/>
      </sharedItems>
    </cacheField>
    <cacheField name="Classe" numFmtId="0">
      <sharedItems count="7">
        <s v="Comercial"/>
        <s v="Industrial"/>
        <s v="Residencial"/>
        <s v="Rural"/>
        <s v="Poder público"/>
        <s v="Serviço público"/>
        <s v="Iluminação pública"/>
      </sharedItems>
    </cacheField>
    <cacheField name="Subclasse" numFmtId="0">
      <sharedItems count="8">
        <s v="Não se aplica"/>
        <s v="Residencial"/>
        <s v="Residencial baixa renda – faixa 01"/>
        <s v="Residencial baixa renda – faixa 02"/>
        <s v="Residencial baixa renda – faixa 03"/>
        <s v="Residencial baixa renda – faixa 04"/>
        <s v="Água, esgoto e saneamento"/>
        <s v="Iluminação pública – B4a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4">
        <s v="Fora ponta"/>
        <s v="Não se aplica"/>
        <s v="Ponta"/>
        <s v="Intermediário"/>
      </sharedItems>
    </cacheField>
    <cacheField name="AnoMes" numFmtId="14">
      <sharedItems containsSemiMixedTypes="0" containsNonDate="0" containsDate="1" containsString="0" minDate="2021-07-01T00:00:00" maxDate="2022-06-02T00:00:00" count="12"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</cacheField>
    <cacheField name="D" numFmtId="40">
      <sharedItems containsSemiMixedTypes="0" containsString="0" containsNumber="1" containsInteger="1" minValue="0" maxValue="522"/>
    </cacheField>
    <cacheField name="Daj" numFmtId="40">
      <sharedItems containsSemiMixedTypes="0" containsString="0" containsNumber="1" containsInteger="1" minValue="0" maxValue="522"/>
    </cacheField>
    <cacheField name="TUSD_E" numFmtId="40">
      <sharedItems containsSemiMixedTypes="0" containsString="0" containsNumber="1" minValue="-1.371" maxValue="1096.056"/>
    </cacheField>
    <cacheField name="TUSD_Eaj" numFmtId="40">
      <sharedItems containsSemiMixedTypes="0" containsString="0" containsNumber="1" minValue="-1.371" maxValue="1096.056"/>
    </cacheField>
    <cacheField name="TE_E" numFmtId="40">
      <sharedItems containsSemiMixedTypes="0" containsString="0" containsNumber="1" minValue="-1.371" maxValue="1096.056"/>
    </cacheField>
    <cacheField name="TE_Eaj" numFmtId="40">
      <sharedItems containsSemiMixedTypes="0" containsString="0" containsNumber="1" minValue="-1.371" maxValue="1096.056"/>
    </cacheField>
    <cacheField name="UC" numFmtId="40">
      <sharedItems containsSemiMixedTypes="0" containsString="0" containsNumber="1" containsInteger="1" minValue="0" maxValue="6077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3"/>
    </cacheField>
    <cacheField name="CóD. AUX. TUSD R$/MWh" numFmtId="40">
      <sharedItems containsSemiMixedTypes="0" containsString="0" containsNumber="1" containsInteger="1" minValue="0" maxValue="51"/>
    </cacheField>
    <cacheField name="CóD. AUX. TE R$/MWh" numFmtId="40">
      <sharedItems containsSemiMixedTypes="0" containsString="0" containsNumber="1" containsInteger="1" minValue="0" maxValue="85"/>
    </cacheField>
    <cacheField name="TUSD (R$/kW)" numFmtId="40">
      <sharedItems containsSemiMixedTypes="0" containsString="0" containsNumber="1" minValue="0" maxValue="31.06"/>
    </cacheField>
    <cacheField name="TUSD (R$/MWh)" numFmtId="40">
      <sharedItems containsSemiMixedTypes="0" containsString="0" containsNumber="1" minValue="0" maxValue="1634.54"/>
    </cacheField>
    <cacheField name="TE (R$/MWh)" numFmtId="40">
      <sharedItems containsSemiMixedTypes="0" containsString="0" containsNumber="1" minValue="0" maxValue="131.87"/>
    </cacheField>
    <cacheField name="TUSD (R$/kW) NOVA" numFmtId="40">
      <sharedItems containsString="0" containsBlank="1" containsNumber="1" minValue="37.6958879256484" maxValue="37.6958879256484"/>
    </cacheField>
    <cacheField name="TUSD (R$/MWh) NOVA" numFmtId="40">
      <sharedItems containsString="0" containsBlank="1" containsNumber="1" minValue="97.13883152087493" maxValue="1992.4981055215353"/>
    </cacheField>
    <cacheField name="TE (R$/MWh) NOVA" numFmtId="40">
      <sharedItems containsString="0" containsBlank="1" containsNumber="1" minValue="40.749967156998508" maxValue="116.42847759142431"/>
    </cacheField>
    <cacheField name="RA0 ou RV - TUSD (kW)" numFmtId="40">
      <sharedItems containsSemiMixedTypes="0" containsString="0" containsNumber="1" minValue="0" maxValue="16213.32"/>
    </cacheField>
    <cacheField name="RA0 ou RV - TUSD (MWh)" numFmtId="40">
      <sharedItems containsSemiMixedTypes="0" containsString="0" containsNumber="1" minValue="-763.42764" maxValue="610327.82304000005"/>
    </cacheField>
    <cacheField name="RA0 ou RV - TE (MWh)" numFmtId="40">
      <sharedItems containsSemiMixedTypes="0" containsString="0" containsNumber="1" minValue="-180.79376999999999" maxValue="144536.90472000002"/>
    </cacheField>
    <cacheField name="RA1 ou RRD - TUSD (kW)" numFmtId="40">
      <sharedItems containsSemiMixedTypes="0" containsString="0" containsNumber="1" minValue="0" maxValue="19677.253497188463"/>
    </cacheField>
    <cacheField name="RA1 ou RRD - TUSD (MWh)" numFmtId="40">
      <sharedItems containsSemiMixedTypes="0" containsString="0" containsNumber="1" minValue="-918.68556258634294" maxValue="734449.90735677374"/>
    </cacheField>
    <cacheField name="RA1 ou RRD - TE (MWh)" numFmtId="40">
      <sharedItems containsSemiMixedTypes="0" containsString="0" containsNumber="1" minValue="-159.62344277784274" maxValue="127612.13143494618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761.383763773149" createdVersion="5" refreshedVersion="8" minRefreshableVersion="3" recordCount="80" xr:uid="{3951AB9A-2F62-48F3-AD67-860FE3F550A7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3">
        <s v="B1"/>
        <s v="B2"/>
        <s v="B3"/>
      </sharedItems>
    </cacheField>
    <cacheField name="Modalidade" numFmtId="0">
      <sharedItems count="1">
        <s v="Convencional"/>
      </sharedItems>
    </cacheField>
    <cacheField name="Classe" numFmtId="0">
      <sharedItems count="3">
        <s v="Residencial"/>
        <s v="Rural"/>
        <s v="Serviço público"/>
      </sharedItems>
    </cacheField>
    <cacheField name="Subclasse" numFmtId="0">
      <sharedItems count="7">
        <s v="Residencial"/>
        <s v="Residencial baixa renda – faixa 01"/>
        <s v="Residencial baixa renda – faixa 02"/>
        <s v="Residencial baixa renda – faixa 03"/>
        <s v="Residencial baixa renda – faixa 04"/>
        <s v="Não se aplica"/>
        <s v="Água, esgoto e saneamento"/>
      </sharedItems>
    </cacheField>
    <cacheField name="Detalhe" numFmtId="0">
      <sharedItems count="1">
        <s v="Não se aplica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07-01T00:00:00" maxDate="2022-06-02T00:00:00" count="12"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0.02" maxValue="990.41099999999994"/>
    </cacheField>
    <cacheField name="TUSD_Eaj" numFmtId="40">
      <sharedItems containsSemiMixedTypes="0" containsString="0" containsNumber="1" minValue="0.02" maxValue="990.41099999999994"/>
    </cacheField>
    <cacheField name="TE_E" numFmtId="40">
      <sharedItems containsSemiMixedTypes="0" containsString="0" containsNumber="1" minValue="0.02" maxValue="990.41099999999994"/>
    </cacheField>
    <cacheField name="TE_Eaj" numFmtId="40">
      <sharedItems containsSemiMixedTypes="0" containsString="0" containsNumber="1" minValue="0.02" maxValue="990.41099999999994"/>
    </cacheField>
    <cacheField name="UC" numFmtId="40">
      <sharedItems containsSemiMixedTypes="0" containsString="0" containsNumber="1" containsInteger="1" minValue="0" maxValue="6042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2" maxValue="51"/>
    </cacheField>
    <cacheField name="CóD. AUX. TE R$/MWh" numFmtId="0">
      <sharedItems containsSemiMixedTypes="0" containsString="0" containsNumber="1" containsInteger="1" minValue="26" maxValue="83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170.76" maxValue="556.84"/>
    </cacheField>
    <cacheField name="TE (R$/MWh)" numFmtId="40">
      <sharedItems containsSemiMixedTypes="0" containsString="0" containsNumber="1" minValue="46.15" maxValue="131.87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197.19556189181066" maxValue="670.0842907267272"/>
    </cacheField>
    <cacheField name="TE (R$/MWh) NOVA" numFmtId="40">
      <sharedItems containsSemiMixedTypes="0" containsString="0" containsNumber="1" minValue="40.749967156998508" maxValue="116.42847759142431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0" maxValue="9995.0800999999992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0" maxValue="10964.258040821645"/>
    </cacheField>
    <cacheField name="TIPO" numFmtId="0">
      <sharedItems containsBlank="1" count="4">
        <m/>
        <s v="SUBSIDIO BAIXA RENDA"/>
        <s v="SUBSIDIO RURAL"/>
        <s v="SUBSIDIO ÁGUA, ESGOTO E SANEAMENTO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Regular"/>
    <x v="0"/>
    <x v="0"/>
    <x v="0"/>
    <x v="0"/>
    <x v="0"/>
    <x v="0"/>
    <x v="0"/>
    <x v="0"/>
    <n v="0"/>
    <n v="0"/>
    <n v="49.872999999999998"/>
    <n v="49.872999999999998"/>
    <n v="49.872999999999998"/>
    <n v="49.872999999999998"/>
    <n v="0"/>
    <x v="0"/>
    <n v="0"/>
    <n v="0"/>
    <n v="21"/>
    <n v="48"/>
    <n v="0"/>
    <n v="67.53"/>
    <n v="131.87"/>
    <m/>
    <n v="97.13883152087493"/>
    <n v="116.42847759142431"/>
    <n v="0"/>
    <n v="3367.9236900000001"/>
    <n v="6576.7525100000003"/>
    <n v="0"/>
    <n v="4844.6049444405953"/>
    <n v="5806.6374629171041"/>
  </r>
  <r>
    <s v="Regular"/>
    <x v="0"/>
    <x v="0"/>
    <x v="0"/>
    <x v="0"/>
    <x v="0"/>
    <x v="0"/>
    <x v="0"/>
    <x v="1"/>
    <n v="0"/>
    <n v="0"/>
    <n v="59.265999999999998"/>
    <n v="59.265999999999998"/>
    <n v="59.265999999999998"/>
    <n v="59.265999999999998"/>
    <n v="0"/>
    <x v="0"/>
    <n v="0"/>
    <n v="0"/>
    <n v="21"/>
    <n v="48"/>
    <n v="0"/>
    <n v="67.53"/>
    <n v="131.87"/>
    <m/>
    <n v="97.13883152087493"/>
    <n v="116.42847759142431"/>
    <n v="0"/>
    <n v="4002.2329799999998"/>
    <n v="7815.4074200000005"/>
    <n v="0"/>
    <n v="5757.0299889161734"/>
    <n v="6900.2501529333531"/>
  </r>
  <r>
    <s v="Regular"/>
    <x v="0"/>
    <x v="0"/>
    <x v="0"/>
    <x v="0"/>
    <x v="0"/>
    <x v="0"/>
    <x v="0"/>
    <x v="2"/>
    <n v="0"/>
    <n v="0"/>
    <n v="83.984999999999999"/>
    <n v="83.984999999999999"/>
    <n v="83.984999999999999"/>
    <n v="83.984999999999999"/>
    <n v="0"/>
    <x v="0"/>
    <n v="0"/>
    <n v="0"/>
    <n v="21"/>
    <n v="48"/>
    <n v="0"/>
    <n v="67.53"/>
    <n v="131.87"/>
    <m/>
    <n v="97.13883152087493"/>
    <n v="116.42847759142431"/>
    <n v="0"/>
    <n v="5671.5070500000002"/>
    <n v="11075.10195"/>
    <n v="0"/>
    <n v="8158.2047652806814"/>
    <n v="9778.2456905157705"/>
  </r>
  <r>
    <s v="Regular"/>
    <x v="0"/>
    <x v="0"/>
    <x v="0"/>
    <x v="0"/>
    <x v="0"/>
    <x v="0"/>
    <x v="0"/>
    <x v="3"/>
    <n v="0"/>
    <n v="0"/>
    <n v="15.336"/>
    <n v="15.336"/>
    <n v="15.336"/>
    <n v="15.336"/>
    <n v="0"/>
    <x v="0"/>
    <n v="0"/>
    <n v="0"/>
    <n v="21"/>
    <n v="48"/>
    <n v="0"/>
    <n v="67.53"/>
    <n v="131.87"/>
    <m/>
    <n v="97.13883152087493"/>
    <n v="116.42847759142431"/>
    <n v="0"/>
    <n v="1035.6400800000001"/>
    <n v="2022.35832"/>
    <n v="0"/>
    <n v="1489.7211202041381"/>
    <n v="1785.5471323420832"/>
  </r>
  <r>
    <s v="Regular"/>
    <x v="0"/>
    <x v="0"/>
    <x v="0"/>
    <x v="0"/>
    <x v="0"/>
    <x v="0"/>
    <x v="0"/>
    <x v="4"/>
    <n v="0"/>
    <n v="0"/>
    <n v="16.108000000000001"/>
    <n v="16.108000000000001"/>
    <n v="16.108000000000001"/>
    <n v="16.108000000000001"/>
    <n v="0"/>
    <x v="0"/>
    <n v="0"/>
    <n v="0"/>
    <n v="21"/>
    <n v="48"/>
    <n v="0"/>
    <n v="67.53"/>
    <n v="131.87"/>
    <m/>
    <n v="97.13883152087493"/>
    <n v="116.42847759142431"/>
    <n v="0"/>
    <n v="1087.77324"/>
    <n v="2124.1619600000004"/>
    <n v="0"/>
    <n v="1564.7122981382533"/>
    <n v="1875.429917042663"/>
  </r>
  <r>
    <s v="Regular"/>
    <x v="0"/>
    <x v="0"/>
    <x v="0"/>
    <x v="0"/>
    <x v="0"/>
    <x v="0"/>
    <x v="0"/>
    <x v="5"/>
    <n v="0"/>
    <n v="0"/>
    <n v="13.367000000000001"/>
    <n v="13.367000000000001"/>
    <n v="13.367000000000001"/>
    <n v="13.367000000000001"/>
    <n v="0"/>
    <x v="0"/>
    <n v="0"/>
    <n v="0"/>
    <n v="21"/>
    <n v="48"/>
    <n v="0"/>
    <n v="67.53"/>
    <n v="131.87"/>
    <m/>
    <n v="97.13883152087493"/>
    <n v="116.42847759142431"/>
    <n v="0"/>
    <n v="902.67351000000008"/>
    <n v="1762.7062900000001"/>
    <n v="0"/>
    <n v="1298.4547609395354"/>
    <n v="1556.2994599645688"/>
  </r>
  <r>
    <s v="Regular"/>
    <x v="0"/>
    <x v="0"/>
    <x v="0"/>
    <x v="0"/>
    <x v="0"/>
    <x v="0"/>
    <x v="0"/>
    <x v="6"/>
    <n v="0"/>
    <n v="0"/>
    <n v="11.331"/>
    <n v="11.331"/>
    <n v="11.331"/>
    <n v="11.331"/>
    <n v="0"/>
    <x v="0"/>
    <n v="0"/>
    <n v="0"/>
    <n v="21"/>
    <n v="48"/>
    <n v="0"/>
    <n v="67.53"/>
    <n v="131.87"/>
    <m/>
    <n v="97.13883152087493"/>
    <n v="116.42847759142431"/>
    <n v="0"/>
    <n v="765.18242999999995"/>
    <n v="1494.2189699999999"/>
    <n v="0"/>
    <n v="1100.6800999630339"/>
    <n v="1319.2510795884289"/>
  </r>
  <r>
    <s v="Regular"/>
    <x v="0"/>
    <x v="0"/>
    <x v="0"/>
    <x v="0"/>
    <x v="0"/>
    <x v="0"/>
    <x v="0"/>
    <x v="7"/>
    <n v="0"/>
    <n v="0"/>
    <n v="29.956"/>
    <n v="29.956"/>
    <n v="29.956"/>
    <n v="29.956"/>
    <n v="0"/>
    <x v="0"/>
    <n v="0"/>
    <n v="0"/>
    <n v="21"/>
    <n v="48"/>
    <n v="0"/>
    <n v="67.53"/>
    <n v="131.87"/>
    <m/>
    <n v="97.13883152087493"/>
    <n v="116.42847759142431"/>
    <n v="0"/>
    <n v="2022.92868"/>
    <n v="3950.29772"/>
    <n v="0"/>
    <n v="2909.8908370393292"/>
    <n v="3487.7314747287064"/>
  </r>
  <r>
    <s v="Regular"/>
    <x v="0"/>
    <x v="0"/>
    <x v="0"/>
    <x v="0"/>
    <x v="0"/>
    <x v="0"/>
    <x v="0"/>
    <x v="8"/>
    <n v="0"/>
    <n v="0"/>
    <n v="60.271000000000001"/>
    <n v="60.271000000000001"/>
    <n v="60.271000000000001"/>
    <n v="60.271000000000001"/>
    <n v="0"/>
    <x v="0"/>
    <n v="0"/>
    <n v="0"/>
    <n v="21"/>
    <n v="48"/>
    <n v="0"/>
    <n v="67.53"/>
    <n v="131.87"/>
    <m/>
    <n v="97.13883152087493"/>
    <n v="116.42847759142431"/>
    <n v="0"/>
    <n v="4070.1006299999999"/>
    <n v="7947.9367700000003"/>
    <n v="0"/>
    <n v="5854.6545145946529"/>
    <n v="7017.2607729127349"/>
  </r>
  <r>
    <s v="Regular"/>
    <x v="0"/>
    <x v="0"/>
    <x v="0"/>
    <x v="0"/>
    <x v="0"/>
    <x v="0"/>
    <x v="0"/>
    <x v="9"/>
    <n v="0"/>
    <n v="0"/>
    <n v="50.097000000000001"/>
    <n v="50.097000000000001"/>
    <n v="50.097000000000001"/>
    <n v="50.097000000000001"/>
    <n v="0"/>
    <x v="0"/>
    <n v="0"/>
    <n v="0"/>
    <n v="21"/>
    <n v="48"/>
    <n v="0"/>
    <n v="67.53"/>
    <n v="131.87"/>
    <m/>
    <n v="97.13883152087493"/>
    <n v="116.42847759142431"/>
    <n v="0"/>
    <n v="3383.0504100000003"/>
    <n v="6606.2913900000003"/>
    <n v="0"/>
    <n v="4866.3640427012715"/>
    <n v="5832.7174418975837"/>
  </r>
  <r>
    <s v="Regular"/>
    <x v="0"/>
    <x v="0"/>
    <x v="0"/>
    <x v="0"/>
    <x v="0"/>
    <x v="0"/>
    <x v="0"/>
    <x v="10"/>
    <n v="0"/>
    <n v="0"/>
    <n v="64.269000000000005"/>
    <n v="64.269000000000005"/>
    <n v="64.269000000000005"/>
    <n v="64.269000000000005"/>
    <n v="0"/>
    <x v="0"/>
    <n v="0"/>
    <n v="0"/>
    <n v="21"/>
    <n v="48"/>
    <n v="0"/>
    <n v="67.53"/>
    <n v="131.87"/>
    <m/>
    <n v="97.13883152087493"/>
    <n v="116.42847759142431"/>
    <n v="0"/>
    <n v="4340.0855700000002"/>
    <n v="8475.1530300000013"/>
    <n v="0"/>
    <n v="6243.0155630151112"/>
    <n v="7482.7418263232494"/>
  </r>
  <r>
    <s v="Regular"/>
    <x v="0"/>
    <x v="0"/>
    <x v="0"/>
    <x v="0"/>
    <x v="0"/>
    <x v="0"/>
    <x v="0"/>
    <x v="11"/>
    <n v="0"/>
    <n v="0"/>
    <n v="67.215000000000003"/>
    <n v="67.215000000000003"/>
    <n v="67.215000000000003"/>
    <n v="67.215000000000003"/>
    <n v="0"/>
    <x v="0"/>
    <n v="0"/>
    <n v="0"/>
    <n v="21"/>
    <n v="48"/>
    <n v="0"/>
    <n v="67.53"/>
    <n v="131.87"/>
    <m/>
    <n v="97.13883152087493"/>
    <n v="116.42847759142431"/>
    <n v="0"/>
    <n v="4539.0289499999999"/>
    <n v="8863.6420500000004"/>
    <n v="0"/>
    <n v="6529.1865606756091"/>
    <n v="7825.7401213075855"/>
  </r>
  <r>
    <s v="Regular"/>
    <x v="0"/>
    <x v="0"/>
    <x v="0"/>
    <x v="0"/>
    <x v="0"/>
    <x v="0"/>
    <x v="1"/>
    <x v="0"/>
    <n v="292"/>
    <n v="292"/>
    <n v="0"/>
    <n v="0"/>
    <n v="0"/>
    <n v="0"/>
    <n v="2"/>
    <x v="0"/>
    <n v="0"/>
    <n v="3"/>
    <n v="0"/>
    <n v="0"/>
    <n v="31.06"/>
    <n v="0"/>
    <n v="0"/>
    <n v="37.6958879256484"/>
    <m/>
    <m/>
    <n v="9069.52"/>
    <n v="0"/>
    <n v="0"/>
    <n v="11007.199274289333"/>
    <n v="0"/>
    <n v="0"/>
  </r>
  <r>
    <s v="Regular"/>
    <x v="0"/>
    <x v="0"/>
    <x v="0"/>
    <x v="0"/>
    <x v="0"/>
    <x v="0"/>
    <x v="1"/>
    <x v="1"/>
    <n v="297"/>
    <n v="297"/>
    <n v="0"/>
    <n v="0"/>
    <n v="0"/>
    <n v="0"/>
    <n v="2"/>
    <x v="0"/>
    <n v="0"/>
    <n v="3"/>
    <n v="0"/>
    <n v="0"/>
    <n v="31.06"/>
    <n v="0"/>
    <n v="0"/>
    <n v="37.6958879256484"/>
    <m/>
    <m/>
    <n v="9224.82"/>
    <n v="0"/>
    <n v="0"/>
    <n v="11195.678713917574"/>
    <n v="0"/>
    <n v="0"/>
  </r>
  <r>
    <s v="Regular"/>
    <x v="0"/>
    <x v="0"/>
    <x v="0"/>
    <x v="0"/>
    <x v="0"/>
    <x v="0"/>
    <x v="1"/>
    <x v="2"/>
    <n v="381"/>
    <n v="381"/>
    <n v="0"/>
    <n v="0"/>
    <n v="0"/>
    <n v="0"/>
    <n v="2"/>
    <x v="0"/>
    <n v="0"/>
    <n v="3"/>
    <n v="0"/>
    <n v="0"/>
    <n v="31.06"/>
    <n v="0"/>
    <n v="0"/>
    <n v="37.6958879256484"/>
    <m/>
    <m/>
    <n v="11833.859999999999"/>
    <n v="0"/>
    <n v="0"/>
    <n v="14362.133299672039"/>
    <n v="0"/>
    <n v="0"/>
  </r>
  <r>
    <s v="Regular"/>
    <x v="0"/>
    <x v="0"/>
    <x v="0"/>
    <x v="0"/>
    <x v="0"/>
    <x v="0"/>
    <x v="1"/>
    <x v="3"/>
    <n v="280"/>
    <n v="280"/>
    <n v="0"/>
    <n v="0"/>
    <n v="0"/>
    <n v="0"/>
    <n v="2"/>
    <x v="0"/>
    <n v="0"/>
    <n v="3"/>
    <n v="0"/>
    <n v="0"/>
    <n v="31.06"/>
    <n v="0"/>
    <n v="0"/>
    <n v="37.6958879256484"/>
    <m/>
    <m/>
    <n v="8696.7999999999993"/>
    <n v="0"/>
    <n v="0"/>
    <n v="10554.848619181552"/>
    <n v="0"/>
    <n v="0"/>
  </r>
  <r>
    <s v="Regular"/>
    <x v="0"/>
    <x v="0"/>
    <x v="0"/>
    <x v="0"/>
    <x v="0"/>
    <x v="0"/>
    <x v="1"/>
    <x v="4"/>
    <n v="280"/>
    <n v="280"/>
    <n v="0"/>
    <n v="0"/>
    <n v="0"/>
    <n v="0"/>
    <n v="2"/>
    <x v="0"/>
    <n v="0"/>
    <n v="3"/>
    <n v="0"/>
    <n v="0"/>
    <n v="31.06"/>
    <n v="0"/>
    <n v="0"/>
    <n v="37.6958879256484"/>
    <m/>
    <m/>
    <n v="8696.7999999999993"/>
    <n v="0"/>
    <n v="0"/>
    <n v="10554.848619181552"/>
    <n v="0"/>
    <n v="0"/>
  </r>
  <r>
    <s v="Regular"/>
    <x v="0"/>
    <x v="0"/>
    <x v="0"/>
    <x v="0"/>
    <x v="0"/>
    <x v="0"/>
    <x v="1"/>
    <x v="5"/>
    <n v="280"/>
    <n v="280"/>
    <n v="0"/>
    <n v="0"/>
    <n v="0"/>
    <n v="0"/>
    <n v="2"/>
    <x v="0"/>
    <n v="0"/>
    <n v="3"/>
    <n v="0"/>
    <n v="0"/>
    <n v="31.06"/>
    <n v="0"/>
    <n v="0"/>
    <n v="37.6958879256484"/>
    <m/>
    <m/>
    <n v="8696.7999999999993"/>
    <n v="0"/>
    <n v="0"/>
    <n v="10554.848619181552"/>
    <n v="0"/>
    <n v="0"/>
  </r>
  <r>
    <s v="Regular"/>
    <x v="0"/>
    <x v="0"/>
    <x v="0"/>
    <x v="0"/>
    <x v="0"/>
    <x v="0"/>
    <x v="1"/>
    <x v="6"/>
    <n v="280"/>
    <n v="280"/>
    <n v="0"/>
    <n v="0"/>
    <n v="0"/>
    <n v="0"/>
    <n v="2"/>
    <x v="0"/>
    <n v="0"/>
    <n v="3"/>
    <n v="0"/>
    <n v="0"/>
    <n v="31.06"/>
    <n v="0"/>
    <n v="0"/>
    <n v="37.6958879256484"/>
    <m/>
    <m/>
    <n v="8696.7999999999993"/>
    <n v="0"/>
    <n v="0"/>
    <n v="10554.848619181552"/>
    <n v="0"/>
    <n v="0"/>
  </r>
  <r>
    <s v="Regular"/>
    <x v="0"/>
    <x v="0"/>
    <x v="0"/>
    <x v="0"/>
    <x v="0"/>
    <x v="0"/>
    <x v="1"/>
    <x v="7"/>
    <n v="280"/>
    <n v="280"/>
    <n v="0"/>
    <n v="0"/>
    <n v="0"/>
    <n v="0"/>
    <n v="2"/>
    <x v="0"/>
    <n v="0"/>
    <n v="3"/>
    <n v="0"/>
    <n v="0"/>
    <n v="31.06"/>
    <n v="0"/>
    <n v="0"/>
    <n v="37.6958879256484"/>
    <m/>
    <m/>
    <n v="8696.7999999999993"/>
    <n v="0"/>
    <n v="0"/>
    <n v="10554.848619181552"/>
    <n v="0"/>
    <n v="0"/>
  </r>
  <r>
    <s v="Regular"/>
    <x v="0"/>
    <x v="0"/>
    <x v="0"/>
    <x v="0"/>
    <x v="0"/>
    <x v="0"/>
    <x v="1"/>
    <x v="8"/>
    <n v="192"/>
    <n v="192"/>
    <n v="0"/>
    <n v="0"/>
    <n v="0"/>
    <n v="0"/>
    <n v="2"/>
    <x v="0"/>
    <n v="0"/>
    <n v="3"/>
    <n v="0"/>
    <n v="0"/>
    <n v="31.06"/>
    <n v="0"/>
    <n v="0"/>
    <n v="37.6958879256484"/>
    <m/>
    <m/>
    <n v="5963.5199999999995"/>
    <n v="0"/>
    <n v="0"/>
    <n v="7237.6104817244923"/>
    <n v="0"/>
    <n v="0"/>
  </r>
  <r>
    <s v="Regular"/>
    <x v="0"/>
    <x v="0"/>
    <x v="0"/>
    <x v="0"/>
    <x v="0"/>
    <x v="0"/>
    <x v="1"/>
    <x v="9"/>
    <n v="195"/>
    <n v="195"/>
    <n v="0"/>
    <n v="0"/>
    <n v="0"/>
    <n v="0"/>
    <n v="2"/>
    <x v="0"/>
    <n v="0"/>
    <n v="3"/>
    <n v="0"/>
    <n v="0"/>
    <n v="31.06"/>
    <n v="0"/>
    <n v="0"/>
    <n v="37.6958879256484"/>
    <m/>
    <m/>
    <n v="6056.7"/>
    <n v="0"/>
    <n v="0"/>
    <n v="7350.6981455014384"/>
    <n v="0"/>
    <n v="0"/>
  </r>
  <r>
    <s v="Regular"/>
    <x v="0"/>
    <x v="0"/>
    <x v="0"/>
    <x v="0"/>
    <x v="0"/>
    <x v="0"/>
    <x v="1"/>
    <x v="10"/>
    <n v="190"/>
    <n v="190"/>
    <n v="0"/>
    <n v="0"/>
    <n v="0"/>
    <n v="0"/>
    <n v="2"/>
    <x v="0"/>
    <n v="0"/>
    <n v="3"/>
    <n v="0"/>
    <n v="0"/>
    <n v="31.06"/>
    <n v="0"/>
    <n v="0"/>
    <n v="37.6958879256484"/>
    <m/>
    <m/>
    <n v="5901.4"/>
    <n v="0"/>
    <n v="0"/>
    <n v="7162.2187058731961"/>
    <n v="0"/>
    <n v="0"/>
  </r>
  <r>
    <s v="Regular"/>
    <x v="0"/>
    <x v="0"/>
    <x v="0"/>
    <x v="0"/>
    <x v="0"/>
    <x v="0"/>
    <x v="1"/>
    <x v="11"/>
    <n v="193"/>
    <n v="193"/>
    <n v="0"/>
    <n v="0"/>
    <n v="0"/>
    <n v="0"/>
    <n v="2"/>
    <x v="0"/>
    <n v="0"/>
    <n v="3"/>
    <n v="0"/>
    <n v="0"/>
    <n v="31.06"/>
    <n v="0"/>
    <n v="0"/>
    <n v="37.6958879256484"/>
    <m/>
    <m/>
    <n v="5994.58"/>
    <n v="0"/>
    <n v="0"/>
    <n v="7275.3063696501413"/>
    <n v="0"/>
    <n v="0"/>
  </r>
  <r>
    <s v="Regular"/>
    <x v="0"/>
    <x v="0"/>
    <x v="0"/>
    <x v="0"/>
    <x v="0"/>
    <x v="0"/>
    <x v="2"/>
    <x v="0"/>
    <n v="0"/>
    <n v="0"/>
    <n v="1.4350000000000001"/>
    <n v="1.4350000000000001"/>
    <n v="1.4350000000000001"/>
    <n v="1.4350000000000001"/>
    <n v="0"/>
    <x v="0"/>
    <n v="0"/>
    <n v="0"/>
    <n v="23"/>
    <n v="41"/>
    <n v="0"/>
    <n v="1634.54"/>
    <n v="131.87"/>
    <m/>
    <n v="1992.4981055215353"/>
    <n v="116.42847759142431"/>
    <n v="0"/>
    <n v="2345.5648999999999"/>
    <n v="189.23345"/>
    <n v="0"/>
    <n v="2859.2347814234031"/>
    <n v="167.07486534369389"/>
  </r>
  <r>
    <s v="Regular"/>
    <x v="0"/>
    <x v="0"/>
    <x v="0"/>
    <x v="0"/>
    <x v="0"/>
    <x v="0"/>
    <x v="2"/>
    <x v="1"/>
    <n v="0"/>
    <n v="0"/>
    <n v="2.7229999999999999"/>
    <n v="2.7229999999999999"/>
    <n v="2.7229999999999999"/>
    <n v="2.7229999999999999"/>
    <n v="0"/>
    <x v="0"/>
    <n v="0"/>
    <n v="0"/>
    <n v="23"/>
    <n v="41"/>
    <n v="0"/>
    <n v="1634.54"/>
    <n v="131.87"/>
    <m/>
    <n v="1992.4981055215353"/>
    <n v="116.42847759142431"/>
    <n v="0"/>
    <n v="4450.8524199999993"/>
    <n v="359.08200999999997"/>
    <n v="0"/>
    <n v="5425.5723413351407"/>
    <n v="317.0347444814484"/>
  </r>
  <r>
    <s v="Regular"/>
    <x v="0"/>
    <x v="0"/>
    <x v="0"/>
    <x v="0"/>
    <x v="0"/>
    <x v="0"/>
    <x v="2"/>
    <x v="2"/>
    <n v="0"/>
    <n v="0"/>
    <n v="4.6050000000000004"/>
    <n v="4.6050000000000004"/>
    <n v="4.6050000000000004"/>
    <n v="4.6050000000000004"/>
    <n v="0"/>
    <x v="0"/>
    <n v="0"/>
    <n v="0"/>
    <n v="23"/>
    <n v="41"/>
    <n v="0"/>
    <n v="1634.54"/>
    <n v="131.87"/>
    <m/>
    <n v="1992.4981055215353"/>
    <n v="116.42847759142431"/>
    <n v="0"/>
    <n v="7527.0567000000001"/>
    <n v="607.26135000000011"/>
    <n v="0"/>
    <n v="9175.4537759266714"/>
    <n v="536.15313930850903"/>
  </r>
  <r>
    <s v="Regular"/>
    <x v="0"/>
    <x v="0"/>
    <x v="0"/>
    <x v="0"/>
    <x v="0"/>
    <x v="0"/>
    <x v="2"/>
    <x v="3"/>
    <n v="0"/>
    <n v="0"/>
    <n v="0.67"/>
    <n v="0.67"/>
    <n v="0.67"/>
    <n v="0.67"/>
    <n v="0"/>
    <x v="0"/>
    <n v="0"/>
    <n v="0"/>
    <n v="23"/>
    <n v="41"/>
    <n v="0"/>
    <n v="1634.54"/>
    <n v="131.87"/>
    <m/>
    <n v="1992.4981055215353"/>
    <n v="116.42847759142431"/>
    <n v="0"/>
    <n v="1095.1418000000001"/>
    <n v="88.352900000000005"/>
    <n v="0"/>
    <n v="1334.9737306994286"/>
    <n v="78.007079986254297"/>
  </r>
  <r>
    <s v="Regular"/>
    <x v="0"/>
    <x v="0"/>
    <x v="0"/>
    <x v="0"/>
    <x v="0"/>
    <x v="0"/>
    <x v="2"/>
    <x v="4"/>
    <n v="0"/>
    <n v="0"/>
    <n v="1.0609999999999999"/>
    <n v="1.0609999999999999"/>
    <n v="1.0609999999999999"/>
    <n v="1.0609999999999999"/>
    <n v="0"/>
    <x v="0"/>
    <n v="0"/>
    <n v="0"/>
    <n v="23"/>
    <n v="41"/>
    <n v="0"/>
    <n v="1634.54"/>
    <n v="131.87"/>
    <m/>
    <n v="1992.4981055215353"/>
    <n v="116.42847759142431"/>
    <n v="0"/>
    <n v="1734.2469399999998"/>
    <n v="139.91407000000001"/>
    <n v="0"/>
    <n v="2114.0404899583486"/>
    <n v="123.53061472450119"/>
  </r>
  <r>
    <s v="Regular"/>
    <x v="0"/>
    <x v="0"/>
    <x v="0"/>
    <x v="0"/>
    <x v="0"/>
    <x v="0"/>
    <x v="2"/>
    <x v="5"/>
    <n v="0"/>
    <n v="0"/>
    <n v="1.86"/>
    <n v="1.86"/>
    <n v="1.86"/>
    <n v="1.86"/>
    <n v="0"/>
    <x v="0"/>
    <n v="0"/>
    <n v="0"/>
    <n v="23"/>
    <n v="41"/>
    <n v="0"/>
    <n v="1634.54"/>
    <n v="131.87"/>
    <m/>
    <n v="1992.4981055215353"/>
    <n v="116.42847759142431"/>
    <n v="0"/>
    <n v="3040.2444"/>
    <n v="245.27820000000003"/>
    <n v="0"/>
    <n v="3706.0464762700558"/>
    <n v="216.55696832004924"/>
  </r>
  <r>
    <s v="Regular"/>
    <x v="0"/>
    <x v="0"/>
    <x v="0"/>
    <x v="0"/>
    <x v="0"/>
    <x v="0"/>
    <x v="2"/>
    <x v="6"/>
    <n v="0"/>
    <n v="0"/>
    <n v="0.57099999999999995"/>
    <n v="0.57099999999999995"/>
    <n v="0.57099999999999995"/>
    <n v="0.57099999999999995"/>
    <n v="0"/>
    <x v="0"/>
    <n v="0"/>
    <n v="0"/>
    <n v="23"/>
    <n v="41"/>
    <n v="0"/>
    <n v="1634.54"/>
    <n v="131.87"/>
    <m/>
    <n v="1992.4981055215353"/>
    <n v="116.42847759142431"/>
    <n v="0"/>
    <n v="933.32233999999994"/>
    <n v="75.29777"/>
    <n v="0"/>
    <n v="1137.7164182527965"/>
    <n v="66.480660704703283"/>
  </r>
  <r>
    <s v="Regular"/>
    <x v="0"/>
    <x v="0"/>
    <x v="0"/>
    <x v="0"/>
    <x v="0"/>
    <x v="0"/>
    <x v="2"/>
    <x v="7"/>
    <n v="0"/>
    <n v="0"/>
    <n v="2.359"/>
    <n v="2.359"/>
    <n v="2.359"/>
    <n v="2.359"/>
    <n v="0"/>
    <x v="0"/>
    <n v="0"/>
    <n v="0"/>
    <n v="23"/>
    <n v="41"/>
    <n v="0"/>
    <n v="1634.54"/>
    <n v="131.87"/>
    <m/>
    <n v="1992.4981055215353"/>
    <n v="116.42847759142431"/>
    <n v="0"/>
    <n v="3855.87986"/>
    <n v="311.08133000000004"/>
    <n v="0"/>
    <n v="4700.3030309253018"/>
    <n v="274.65477863816994"/>
  </r>
  <r>
    <s v="Regular"/>
    <x v="0"/>
    <x v="0"/>
    <x v="0"/>
    <x v="0"/>
    <x v="0"/>
    <x v="0"/>
    <x v="2"/>
    <x v="8"/>
    <n v="0"/>
    <n v="0"/>
    <n v="6.3390000000000004"/>
    <n v="6.3390000000000004"/>
    <n v="6.3390000000000004"/>
    <n v="6.3390000000000004"/>
    <n v="0"/>
    <x v="0"/>
    <n v="0"/>
    <n v="0"/>
    <n v="23"/>
    <n v="41"/>
    <n v="0"/>
    <n v="1634.54"/>
    <n v="131.87"/>
    <m/>
    <n v="1992.4981055215353"/>
    <n v="116.42847759142431"/>
    <n v="0"/>
    <n v="10361.34906"/>
    <n v="835.92393000000004"/>
    <n v="0"/>
    <n v="12630.445490901013"/>
    <n v="738.04011945203877"/>
  </r>
  <r>
    <s v="Regular"/>
    <x v="0"/>
    <x v="0"/>
    <x v="0"/>
    <x v="0"/>
    <x v="0"/>
    <x v="0"/>
    <x v="2"/>
    <x v="9"/>
    <n v="0"/>
    <n v="0"/>
    <n v="4.1449999999999996"/>
    <n v="4.1449999999999996"/>
    <n v="4.1449999999999996"/>
    <n v="4.1449999999999996"/>
    <n v="0"/>
    <x v="0"/>
    <n v="0"/>
    <n v="0"/>
    <n v="23"/>
    <n v="41"/>
    <n v="0"/>
    <n v="1634.54"/>
    <n v="131.87"/>
    <m/>
    <n v="1992.4981055215353"/>
    <n v="116.42847759142431"/>
    <n v="0"/>
    <n v="6775.1682999999994"/>
    <n v="546.60114999999996"/>
    <n v="0"/>
    <n v="8258.9046473867638"/>
    <n v="482.59603961645371"/>
  </r>
  <r>
    <s v="Regular"/>
    <x v="0"/>
    <x v="0"/>
    <x v="0"/>
    <x v="0"/>
    <x v="0"/>
    <x v="0"/>
    <x v="2"/>
    <x v="10"/>
    <n v="0"/>
    <n v="0"/>
    <n v="3.5009999999999999"/>
    <n v="3.5009999999999999"/>
    <n v="3.5009999999999999"/>
    <n v="3.5009999999999999"/>
    <n v="0"/>
    <x v="0"/>
    <n v="0"/>
    <n v="0"/>
    <n v="23"/>
    <n v="41"/>
    <n v="0"/>
    <n v="1634.54"/>
    <n v="131.87"/>
    <m/>
    <n v="1992.4981055215353"/>
    <n v="116.42847759142431"/>
    <n v="0"/>
    <n v="5722.5245399999994"/>
    <n v="461.67687000000001"/>
    <n v="0"/>
    <n v="6975.7358674308953"/>
    <n v="407.61610004757648"/>
  </r>
  <r>
    <s v="Regular"/>
    <x v="0"/>
    <x v="0"/>
    <x v="0"/>
    <x v="0"/>
    <x v="0"/>
    <x v="0"/>
    <x v="2"/>
    <x v="11"/>
    <n v="0"/>
    <n v="0"/>
    <n v="3.863"/>
    <n v="3.863"/>
    <n v="3.863"/>
    <n v="3.863"/>
    <n v="0"/>
    <x v="0"/>
    <n v="0"/>
    <n v="0"/>
    <n v="23"/>
    <n v="41"/>
    <n v="0"/>
    <n v="1634.54"/>
    <n v="131.87"/>
    <m/>
    <n v="1992.4981055215353"/>
    <n v="116.42847759142431"/>
    <n v="0"/>
    <n v="6314.2280199999996"/>
    <n v="509.41381000000001"/>
    <n v="0"/>
    <n v="7697.0201816296913"/>
    <n v="449.76320893567214"/>
  </r>
  <r>
    <s v="Regular"/>
    <x v="0"/>
    <x v="0"/>
    <x v="1"/>
    <x v="0"/>
    <x v="0"/>
    <x v="0"/>
    <x v="0"/>
    <x v="3"/>
    <n v="0"/>
    <n v="0"/>
    <n v="11.662000000000001"/>
    <n v="11.662000000000001"/>
    <n v="11.662000000000001"/>
    <n v="11.662000000000001"/>
    <n v="0"/>
    <x v="0"/>
    <n v="0"/>
    <n v="0"/>
    <n v="21"/>
    <n v="48"/>
    <n v="0"/>
    <n v="67.53"/>
    <n v="131.87"/>
    <m/>
    <n v="97.13883152087493"/>
    <n v="116.42847759142431"/>
    <n v="0"/>
    <n v="787.53486000000009"/>
    <n v="1537.8679400000001"/>
    <n v="0"/>
    <n v="1132.8330531964434"/>
    <n v="1357.7889056711904"/>
  </r>
  <r>
    <s v="Regular"/>
    <x v="0"/>
    <x v="0"/>
    <x v="1"/>
    <x v="0"/>
    <x v="0"/>
    <x v="0"/>
    <x v="0"/>
    <x v="4"/>
    <n v="0"/>
    <n v="0"/>
    <n v="59.414999999999999"/>
    <n v="59.414999999999999"/>
    <n v="59.414999999999999"/>
    <n v="59.414999999999999"/>
    <n v="0"/>
    <x v="0"/>
    <n v="0"/>
    <n v="0"/>
    <n v="21"/>
    <n v="48"/>
    <n v="0"/>
    <n v="67.53"/>
    <n v="131.87"/>
    <m/>
    <n v="97.13883152087493"/>
    <n v="116.42847759142431"/>
    <n v="0"/>
    <n v="4012.29495"/>
    <n v="7835.0560500000001"/>
    <n v="0"/>
    <n v="5771.5036748127841"/>
    <n v="6917.5979960944751"/>
  </r>
  <r>
    <s v="Regular"/>
    <x v="0"/>
    <x v="0"/>
    <x v="1"/>
    <x v="0"/>
    <x v="0"/>
    <x v="0"/>
    <x v="0"/>
    <x v="5"/>
    <n v="0"/>
    <n v="0"/>
    <n v="53.637999999999998"/>
    <n v="53.637999999999998"/>
    <n v="53.637999999999998"/>
    <n v="53.637999999999998"/>
    <n v="0"/>
    <x v="0"/>
    <n v="0"/>
    <n v="0"/>
    <n v="21"/>
    <n v="48"/>
    <n v="0"/>
    <n v="67.53"/>
    <n v="131.87"/>
    <m/>
    <n v="97.13883152087493"/>
    <n v="116.42847759142431"/>
    <n v="0"/>
    <n v="3622.1741400000001"/>
    <n v="7073.2430599999998"/>
    <n v="0"/>
    <n v="5210.3326451166895"/>
    <n v="6244.9906810488174"/>
  </r>
  <r>
    <s v="Regular"/>
    <x v="0"/>
    <x v="0"/>
    <x v="1"/>
    <x v="0"/>
    <x v="0"/>
    <x v="0"/>
    <x v="0"/>
    <x v="6"/>
    <n v="0"/>
    <n v="0"/>
    <n v="81.281000000000006"/>
    <n v="81.281000000000006"/>
    <n v="81.281000000000006"/>
    <n v="81.281000000000006"/>
    <n v="0"/>
    <x v="0"/>
    <n v="0"/>
    <n v="0"/>
    <n v="21"/>
    <n v="48"/>
    <n v="0"/>
    <n v="67.53"/>
    <n v="131.87"/>
    <m/>
    <n v="97.13883152087493"/>
    <n v="116.42847759142431"/>
    <n v="0"/>
    <n v="5488.9059300000008"/>
    <n v="10718.52547"/>
    <n v="0"/>
    <n v="7895.5413648482354"/>
    <n v="9463.4230871085601"/>
  </r>
  <r>
    <s v="Regular"/>
    <x v="0"/>
    <x v="0"/>
    <x v="1"/>
    <x v="0"/>
    <x v="0"/>
    <x v="0"/>
    <x v="0"/>
    <x v="7"/>
    <n v="0"/>
    <n v="0"/>
    <n v="110.997"/>
    <n v="110.997"/>
    <n v="110.997"/>
    <n v="110.997"/>
    <n v="0"/>
    <x v="0"/>
    <n v="0"/>
    <n v="0"/>
    <n v="21"/>
    <n v="48"/>
    <n v="0"/>
    <n v="67.53"/>
    <n v="131.87"/>
    <m/>
    <n v="97.13883152087493"/>
    <n v="116.42847759142431"/>
    <n v="0"/>
    <n v="7495.6274100000001"/>
    <n v="14637.17439"/>
    <n v="0"/>
    <n v="10782.118882322555"/>
    <n v="12923.211727215325"/>
  </r>
  <r>
    <s v="Regular"/>
    <x v="0"/>
    <x v="0"/>
    <x v="1"/>
    <x v="0"/>
    <x v="0"/>
    <x v="0"/>
    <x v="0"/>
    <x v="8"/>
    <n v="0"/>
    <n v="0"/>
    <n v="134.363"/>
    <n v="134.363"/>
    <n v="134.363"/>
    <n v="134.363"/>
    <n v="0"/>
    <x v="0"/>
    <n v="0"/>
    <n v="0"/>
    <n v="21"/>
    <n v="48"/>
    <n v="0"/>
    <n v="67.53"/>
    <n v="131.87"/>
    <m/>
    <n v="97.13883152087493"/>
    <n v="116.42847759142431"/>
    <n v="0"/>
    <n v="9073.5333900000005"/>
    <n v="17718.448810000002"/>
    <n v="0"/>
    <n v="13051.864819639319"/>
    <n v="15643.679534616545"/>
  </r>
  <r>
    <s v="Regular"/>
    <x v="0"/>
    <x v="0"/>
    <x v="1"/>
    <x v="0"/>
    <x v="0"/>
    <x v="0"/>
    <x v="0"/>
    <x v="9"/>
    <n v="0"/>
    <n v="0"/>
    <n v="107.65600000000001"/>
    <n v="107.65600000000001"/>
    <n v="107.65600000000001"/>
    <n v="107.65600000000001"/>
    <n v="0"/>
    <x v="0"/>
    <n v="0"/>
    <n v="0"/>
    <n v="21"/>
    <n v="48"/>
    <n v="0"/>
    <n v="67.53"/>
    <n v="131.87"/>
    <m/>
    <n v="97.13883152087493"/>
    <n v="116.42847759142431"/>
    <n v="0"/>
    <n v="7270.0096800000001"/>
    <n v="14196.596720000001"/>
    <n v="0"/>
    <n v="10457.578046211313"/>
    <n v="12534.224183582377"/>
  </r>
  <r>
    <s v="Regular"/>
    <x v="0"/>
    <x v="0"/>
    <x v="1"/>
    <x v="0"/>
    <x v="0"/>
    <x v="0"/>
    <x v="0"/>
    <x v="10"/>
    <n v="0"/>
    <n v="0"/>
    <n v="91"/>
    <n v="91"/>
    <n v="91"/>
    <n v="91"/>
    <n v="0"/>
    <x v="0"/>
    <n v="0"/>
    <n v="0"/>
    <n v="21"/>
    <n v="48"/>
    <n v="0"/>
    <n v="67.53"/>
    <n v="131.87"/>
    <m/>
    <n v="97.13883152087493"/>
    <n v="116.42847759142431"/>
    <n v="0"/>
    <n v="6145.2300000000005"/>
    <n v="12000.17"/>
    <n v="0"/>
    <n v="8839.6336683996178"/>
    <n v="10594.991460819612"/>
  </r>
  <r>
    <s v="Regular"/>
    <x v="0"/>
    <x v="0"/>
    <x v="1"/>
    <x v="0"/>
    <x v="0"/>
    <x v="0"/>
    <x v="0"/>
    <x v="11"/>
    <n v="0"/>
    <n v="0"/>
    <n v="73.265000000000001"/>
    <n v="73.265000000000001"/>
    <n v="73.265000000000001"/>
    <n v="73.265000000000001"/>
    <n v="0"/>
    <x v="0"/>
    <n v="0"/>
    <n v="0"/>
    <n v="21"/>
    <n v="48"/>
    <n v="0"/>
    <n v="67.53"/>
    <n v="131.87"/>
    <m/>
    <n v="97.13883152087493"/>
    <n v="116.42847759142431"/>
    <n v="0"/>
    <n v="4947.5854500000005"/>
    <n v="9661.4555500000006"/>
    <n v="0"/>
    <n v="7116.8764913769019"/>
    <n v="8530.1324107357013"/>
  </r>
  <r>
    <s v="Regular"/>
    <x v="0"/>
    <x v="0"/>
    <x v="1"/>
    <x v="0"/>
    <x v="0"/>
    <x v="0"/>
    <x v="1"/>
    <x v="3"/>
    <n v="101"/>
    <n v="101"/>
    <n v="0"/>
    <n v="0"/>
    <n v="0"/>
    <n v="0"/>
    <n v="1"/>
    <x v="0"/>
    <n v="0"/>
    <n v="3"/>
    <n v="0"/>
    <n v="0"/>
    <n v="31.06"/>
    <n v="0"/>
    <n v="0"/>
    <n v="37.6958879256484"/>
    <m/>
    <m/>
    <n v="3137.06"/>
    <n v="0"/>
    <n v="0"/>
    <n v="3807.2846804904884"/>
    <n v="0"/>
    <n v="0"/>
  </r>
  <r>
    <s v="Regular"/>
    <x v="0"/>
    <x v="0"/>
    <x v="1"/>
    <x v="0"/>
    <x v="0"/>
    <x v="0"/>
    <x v="1"/>
    <x v="4"/>
    <n v="133"/>
    <n v="133"/>
    <n v="0"/>
    <n v="0"/>
    <n v="0"/>
    <n v="0"/>
    <n v="1"/>
    <x v="0"/>
    <n v="0"/>
    <n v="3"/>
    <n v="0"/>
    <n v="0"/>
    <n v="31.06"/>
    <n v="0"/>
    <n v="0"/>
    <n v="37.6958879256484"/>
    <m/>
    <m/>
    <n v="4130.9799999999996"/>
    <n v="0"/>
    <n v="0"/>
    <n v="5013.5530941112374"/>
    <n v="0"/>
    <n v="0"/>
  </r>
  <r>
    <s v="Regular"/>
    <x v="0"/>
    <x v="0"/>
    <x v="1"/>
    <x v="0"/>
    <x v="0"/>
    <x v="0"/>
    <x v="1"/>
    <x v="5"/>
    <n v="276"/>
    <n v="276"/>
    <n v="0"/>
    <n v="0"/>
    <n v="0"/>
    <n v="0"/>
    <n v="1"/>
    <x v="0"/>
    <n v="0"/>
    <n v="3"/>
    <n v="0"/>
    <n v="0"/>
    <n v="31.06"/>
    <n v="0"/>
    <n v="0"/>
    <n v="37.6958879256484"/>
    <m/>
    <m/>
    <n v="8572.56"/>
    <n v="0"/>
    <n v="0"/>
    <n v="10404.065067478958"/>
    <n v="0"/>
    <n v="0"/>
  </r>
  <r>
    <s v="Regular"/>
    <x v="0"/>
    <x v="0"/>
    <x v="1"/>
    <x v="0"/>
    <x v="0"/>
    <x v="0"/>
    <x v="1"/>
    <x v="6"/>
    <n v="163"/>
    <n v="163"/>
    <n v="0"/>
    <n v="0"/>
    <n v="0"/>
    <n v="0"/>
    <n v="1"/>
    <x v="0"/>
    <n v="0"/>
    <n v="3"/>
    <n v="0"/>
    <n v="0"/>
    <n v="31.06"/>
    <n v="0"/>
    <n v="0"/>
    <n v="37.6958879256484"/>
    <m/>
    <m/>
    <n v="5062.78"/>
    <n v="0"/>
    <n v="0"/>
    <n v="6144.4297318806894"/>
    <n v="0"/>
    <n v="0"/>
  </r>
  <r>
    <s v="Regular"/>
    <x v="0"/>
    <x v="0"/>
    <x v="1"/>
    <x v="0"/>
    <x v="0"/>
    <x v="0"/>
    <x v="1"/>
    <x v="7"/>
    <n v="500"/>
    <n v="500"/>
    <n v="0"/>
    <n v="0"/>
    <n v="0"/>
    <n v="0"/>
    <n v="1"/>
    <x v="0"/>
    <n v="0"/>
    <n v="3"/>
    <n v="0"/>
    <n v="0"/>
    <n v="31.06"/>
    <n v="0"/>
    <n v="0"/>
    <n v="37.6958879256484"/>
    <m/>
    <m/>
    <n v="15530"/>
    <n v="0"/>
    <n v="0"/>
    <n v="18847.9439628242"/>
    <n v="0"/>
    <n v="0"/>
  </r>
  <r>
    <s v="Regular"/>
    <x v="0"/>
    <x v="0"/>
    <x v="1"/>
    <x v="0"/>
    <x v="0"/>
    <x v="0"/>
    <x v="1"/>
    <x v="8"/>
    <n v="500"/>
    <n v="500"/>
    <n v="0"/>
    <n v="0"/>
    <n v="0"/>
    <n v="0"/>
    <n v="1"/>
    <x v="0"/>
    <n v="0"/>
    <n v="3"/>
    <n v="0"/>
    <n v="0"/>
    <n v="31.06"/>
    <n v="0"/>
    <n v="0"/>
    <n v="37.6958879256484"/>
    <m/>
    <m/>
    <n v="15530"/>
    <n v="0"/>
    <n v="0"/>
    <n v="18847.9439628242"/>
    <n v="0"/>
    <n v="0"/>
  </r>
  <r>
    <s v="Regular"/>
    <x v="0"/>
    <x v="0"/>
    <x v="1"/>
    <x v="0"/>
    <x v="0"/>
    <x v="0"/>
    <x v="1"/>
    <x v="9"/>
    <n v="522"/>
    <n v="522"/>
    <n v="0"/>
    <n v="0"/>
    <n v="0"/>
    <n v="0"/>
    <n v="1"/>
    <x v="0"/>
    <n v="0"/>
    <n v="3"/>
    <n v="0"/>
    <n v="0"/>
    <n v="31.06"/>
    <n v="0"/>
    <n v="0"/>
    <n v="37.6958879256484"/>
    <m/>
    <m/>
    <n v="16213.32"/>
    <n v="0"/>
    <n v="0"/>
    <n v="19677.253497188463"/>
    <n v="0"/>
    <n v="0"/>
  </r>
  <r>
    <s v="Regular"/>
    <x v="0"/>
    <x v="0"/>
    <x v="1"/>
    <x v="0"/>
    <x v="0"/>
    <x v="0"/>
    <x v="1"/>
    <x v="10"/>
    <n v="521"/>
    <n v="521"/>
    <n v="0"/>
    <n v="0"/>
    <n v="0"/>
    <n v="0"/>
    <n v="1"/>
    <x v="0"/>
    <n v="0"/>
    <n v="3"/>
    <n v="0"/>
    <n v="0"/>
    <n v="31.06"/>
    <n v="0"/>
    <n v="0"/>
    <n v="37.6958879256484"/>
    <m/>
    <m/>
    <n v="16182.26"/>
    <n v="0"/>
    <n v="0"/>
    <n v="19639.557609262818"/>
    <n v="0"/>
    <n v="0"/>
  </r>
  <r>
    <s v="Regular"/>
    <x v="0"/>
    <x v="0"/>
    <x v="1"/>
    <x v="0"/>
    <x v="0"/>
    <x v="0"/>
    <x v="1"/>
    <x v="11"/>
    <n v="521"/>
    <n v="521"/>
    <n v="0"/>
    <n v="0"/>
    <n v="0"/>
    <n v="0"/>
    <n v="1"/>
    <x v="0"/>
    <n v="0"/>
    <n v="3"/>
    <n v="0"/>
    <n v="0"/>
    <n v="31.06"/>
    <n v="0"/>
    <n v="0"/>
    <n v="37.6958879256484"/>
    <m/>
    <m/>
    <n v="16182.26"/>
    <n v="0"/>
    <n v="0"/>
    <n v="19639.557609262818"/>
    <n v="0"/>
    <n v="0"/>
  </r>
  <r>
    <s v="Regular"/>
    <x v="0"/>
    <x v="0"/>
    <x v="1"/>
    <x v="0"/>
    <x v="0"/>
    <x v="0"/>
    <x v="2"/>
    <x v="3"/>
    <n v="0"/>
    <n v="0"/>
    <n v="1.06"/>
    <n v="1.06"/>
    <n v="1.06"/>
    <n v="1.06"/>
    <n v="0"/>
    <x v="0"/>
    <n v="0"/>
    <n v="0"/>
    <n v="23"/>
    <n v="41"/>
    <n v="0"/>
    <n v="1634.54"/>
    <n v="131.87"/>
    <m/>
    <n v="1992.4981055215353"/>
    <n v="116.42847759142431"/>
    <n v="0"/>
    <n v="1732.6124"/>
    <n v="139.78220000000002"/>
    <n v="0"/>
    <n v="2112.0479918528276"/>
    <n v="123.41418624690978"/>
  </r>
  <r>
    <s v="Regular"/>
    <x v="0"/>
    <x v="0"/>
    <x v="1"/>
    <x v="0"/>
    <x v="0"/>
    <x v="0"/>
    <x v="2"/>
    <x v="4"/>
    <n v="0"/>
    <n v="0"/>
    <n v="3.544"/>
    <n v="3.544"/>
    <n v="3.544"/>
    <n v="3.544"/>
    <n v="0"/>
    <x v="0"/>
    <n v="0"/>
    <n v="0"/>
    <n v="23"/>
    <n v="41"/>
    <n v="0"/>
    <n v="1634.54"/>
    <n v="131.87"/>
    <m/>
    <n v="1992.4981055215353"/>
    <n v="116.42847759142431"/>
    <n v="0"/>
    <n v="5792.8097600000001"/>
    <n v="467.34728000000001"/>
    <n v="0"/>
    <n v="7061.4132859683214"/>
    <n v="412.62252458400775"/>
  </r>
  <r>
    <s v="Regular"/>
    <x v="0"/>
    <x v="0"/>
    <x v="1"/>
    <x v="0"/>
    <x v="0"/>
    <x v="0"/>
    <x v="2"/>
    <x v="5"/>
    <n v="0"/>
    <n v="0"/>
    <n v="4.0910000000000002"/>
    <n v="4.0910000000000002"/>
    <n v="4.0910000000000002"/>
    <n v="4.0910000000000002"/>
    <n v="0"/>
    <x v="0"/>
    <n v="0"/>
    <n v="0"/>
    <n v="23"/>
    <n v="41"/>
    <n v="0"/>
    <n v="1634.54"/>
    <n v="131.87"/>
    <m/>
    <n v="1992.4981055215353"/>
    <n v="116.42847759142431"/>
    <n v="0"/>
    <n v="6686.9031400000003"/>
    <n v="539.48017000000004"/>
    <n v="0"/>
    <n v="8151.3097496886012"/>
    <n v="476.30890182651689"/>
  </r>
  <r>
    <s v="Regular"/>
    <x v="0"/>
    <x v="0"/>
    <x v="1"/>
    <x v="0"/>
    <x v="0"/>
    <x v="0"/>
    <x v="2"/>
    <x v="6"/>
    <n v="0"/>
    <n v="0"/>
    <n v="3.3220000000000001"/>
    <n v="3.3220000000000001"/>
    <n v="3.3220000000000001"/>
    <n v="3.3220000000000001"/>
    <n v="0"/>
    <x v="0"/>
    <n v="0"/>
    <n v="0"/>
    <n v="23"/>
    <n v="41"/>
    <n v="0"/>
    <n v="1634.54"/>
    <n v="131.87"/>
    <m/>
    <n v="1992.4981055215353"/>
    <n v="116.42847759142431"/>
    <n v="0"/>
    <n v="5429.9418800000003"/>
    <n v="438.07214000000005"/>
    <n v="0"/>
    <n v="6619.0787065425402"/>
    <n v="386.77540255871156"/>
  </r>
  <r>
    <s v="Regular"/>
    <x v="0"/>
    <x v="0"/>
    <x v="1"/>
    <x v="0"/>
    <x v="0"/>
    <x v="0"/>
    <x v="2"/>
    <x v="7"/>
    <n v="0"/>
    <n v="0"/>
    <n v="2.738"/>
    <n v="2.738"/>
    <n v="2.738"/>
    <n v="2.738"/>
    <n v="0"/>
    <x v="0"/>
    <n v="0"/>
    <n v="0"/>
    <n v="23"/>
    <n v="41"/>
    <n v="0"/>
    <n v="1634.54"/>
    <n v="131.87"/>
    <m/>
    <n v="1992.4981055215353"/>
    <n v="116.42847759142431"/>
    <n v="0"/>
    <n v="4475.3705199999995"/>
    <n v="361.06006000000002"/>
    <n v="0"/>
    <n v="5455.459812917964"/>
    <n v="318.78117164531977"/>
  </r>
  <r>
    <s v="Regular"/>
    <x v="0"/>
    <x v="0"/>
    <x v="1"/>
    <x v="0"/>
    <x v="0"/>
    <x v="0"/>
    <x v="2"/>
    <x v="8"/>
    <n v="0"/>
    <n v="0"/>
    <n v="7.2510000000000003"/>
    <n v="7.2510000000000003"/>
    <n v="7.2510000000000003"/>
    <n v="7.2510000000000003"/>
    <n v="0"/>
    <x v="0"/>
    <n v="0"/>
    <n v="0"/>
    <n v="23"/>
    <n v="41"/>
    <n v="0"/>
    <n v="1634.54"/>
    <n v="131.87"/>
    <m/>
    <n v="1992.4981055215353"/>
    <n v="116.42847759142431"/>
    <n v="0"/>
    <n v="11852.04954"/>
    <n v="956.18937000000005"/>
    <n v="0"/>
    <n v="14447.603763136653"/>
    <n v="844.22289101541776"/>
  </r>
  <r>
    <s v="Regular"/>
    <x v="0"/>
    <x v="0"/>
    <x v="1"/>
    <x v="0"/>
    <x v="0"/>
    <x v="0"/>
    <x v="2"/>
    <x v="9"/>
    <n v="0"/>
    <n v="0"/>
    <n v="2.762"/>
    <n v="2.762"/>
    <n v="2.762"/>
    <n v="2.762"/>
    <n v="0"/>
    <x v="0"/>
    <n v="0"/>
    <n v="0"/>
    <n v="23"/>
    <n v="41"/>
    <n v="0"/>
    <n v="1634.54"/>
    <n v="131.87"/>
    <m/>
    <n v="1992.4981055215353"/>
    <n v="116.42847759142431"/>
    <n v="0"/>
    <n v="4514.5994799999999"/>
    <n v="364.22494"/>
    <n v="0"/>
    <n v="5503.2797674504809"/>
    <n v="321.57545510751396"/>
  </r>
  <r>
    <s v="Regular"/>
    <x v="0"/>
    <x v="0"/>
    <x v="1"/>
    <x v="0"/>
    <x v="0"/>
    <x v="0"/>
    <x v="2"/>
    <x v="10"/>
    <n v="0"/>
    <n v="0"/>
    <n v="1.4730000000000001"/>
    <n v="1.4730000000000001"/>
    <n v="1.4730000000000001"/>
    <n v="1.4730000000000001"/>
    <n v="0"/>
    <x v="0"/>
    <n v="0"/>
    <n v="0"/>
    <n v="23"/>
    <n v="41"/>
    <n v="0"/>
    <n v="1634.54"/>
    <n v="131.87"/>
    <m/>
    <n v="1992.4981055215353"/>
    <n v="116.42847759142431"/>
    <n v="0"/>
    <n v="2407.67742"/>
    <n v="194.24451000000002"/>
    <n v="0"/>
    <n v="2934.9497094332219"/>
    <n v="171.49914749216802"/>
  </r>
  <r>
    <s v="Regular"/>
    <x v="0"/>
    <x v="0"/>
    <x v="1"/>
    <x v="0"/>
    <x v="0"/>
    <x v="0"/>
    <x v="2"/>
    <x v="11"/>
    <n v="0"/>
    <n v="0"/>
    <n v="1.4710000000000001"/>
    <n v="1.4710000000000001"/>
    <n v="1.4710000000000001"/>
    <n v="1.4710000000000001"/>
    <n v="0"/>
    <x v="0"/>
    <n v="0"/>
    <n v="0"/>
    <n v="23"/>
    <n v="41"/>
    <n v="0"/>
    <n v="1634.54"/>
    <n v="131.87"/>
    <m/>
    <n v="1992.4981055215353"/>
    <n v="116.42847759142431"/>
    <n v="0"/>
    <n v="2404.40834"/>
    <n v="193.98077000000001"/>
    <n v="0"/>
    <n v="2930.9647132221785"/>
    <n v="171.26629053698517"/>
  </r>
  <r>
    <s v="Regular"/>
    <x v="1"/>
    <x v="1"/>
    <x v="2"/>
    <x v="1"/>
    <x v="0"/>
    <x v="0"/>
    <x v="0"/>
    <x v="0"/>
    <n v="0"/>
    <n v="0"/>
    <n v="0.20899999999999999"/>
    <n v="0.20899999999999999"/>
    <n v="0.20899999999999999"/>
    <n v="0.20899999999999999"/>
    <n v="0"/>
    <x v="0"/>
    <n v="0"/>
    <n v="0"/>
    <n v="32"/>
    <n v="64"/>
    <n v="0"/>
    <n v="365.93"/>
    <n v="131.87"/>
    <m/>
    <n v="444.69221294724491"/>
    <n v="116.42847759142431"/>
    <n v="0"/>
    <n v="76.479370000000003"/>
    <n v="27.560829999999999"/>
    <n v="0"/>
    <n v="92.940672505974177"/>
    <n v="24.333551816607681"/>
  </r>
  <r>
    <s v="Regular"/>
    <x v="1"/>
    <x v="1"/>
    <x v="2"/>
    <x v="1"/>
    <x v="0"/>
    <x v="0"/>
    <x v="0"/>
    <x v="1"/>
    <n v="0"/>
    <n v="0"/>
    <n v="0.20200000000000001"/>
    <n v="0.20200000000000001"/>
    <n v="0.20200000000000001"/>
    <n v="0.20200000000000001"/>
    <n v="0"/>
    <x v="0"/>
    <n v="0"/>
    <n v="0"/>
    <n v="32"/>
    <n v="64"/>
    <n v="0"/>
    <n v="365.93"/>
    <n v="131.87"/>
    <m/>
    <n v="444.69221294724491"/>
    <n v="116.42847759142431"/>
    <n v="0"/>
    <n v="73.917860000000005"/>
    <n v="26.637740000000001"/>
    <n v="0"/>
    <n v="89.827827015343473"/>
    <n v="23.518552473467711"/>
  </r>
  <r>
    <s v="Regular"/>
    <x v="1"/>
    <x v="1"/>
    <x v="2"/>
    <x v="1"/>
    <x v="0"/>
    <x v="0"/>
    <x v="0"/>
    <x v="2"/>
    <n v="0"/>
    <n v="0"/>
    <n v="0.23899999999999999"/>
    <n v="0.23899999999999999"/>
    <n v="0.23899999999999999"/>
    <n v="0.23899999999999999"/>
    <n v="0"/>
    <x v="0"/>
    <n v="0"/>
    <n v="0"/>
    <n v="32"/>
    <n v="64"/>
    <n v="0"/>
    <n v="365.93"/>
    <n v="131.87"/>
    <m/>
    <n v="444.69221294724491"/>
    <n v="116.42847759142431"/>
    <n v="0"/>
    <n v="87.457269999999994"/>
    <n v="31.516929999999999"/>
    <n v="0"/>
    <n v="106.28143889439153"/>
    <n v="27.826406144350408"/>
  </r>
  <r>
    <s v="Regular"/>
    <x v="1"/>
    <x v="1"/>
    <x v="2"/>
    <x v="1"/>
    <x v="0"/>
    <x v="0"/>
    <x v="0"/>
    <x v="3"/>
    <n v="0"/>
    <n v="0"/>
    <n v="0.247"/>
    <n v="0.247"/>
    <n v="0.247"/>
    <n v="0.247"/>
    <n v="0"/>
    <x v="0"/>
    <n v="0"/>
    <n v="0"/>
    <n v="32"/>
    <n v="64"/>
    <n v="0"/>
    <n v="365.93"/>
    <n v="131.87"/>
    <m/>
    <n v="444.69221294724491"/>
    <n v="116.42847759142431"/>
    <n v="0"/>
    <n v="90.384709999999998"/>
    <n v="32.571890000000003"/>
    <n v="0"/>
    <n v="109.83897659796949"/>
    <n v="28.757833965081804"/>
  </r>
  <r>
    <s v="Regular"/>
    <x v="1"/>
    <x v="1"/>
    <x v="2"/>
    <x v="1"/>
    <x v="0"/>
    <x v="0"/>
    <x v="0"/>
    <x v="4"/>
    <n v="0"/>
    <n v="0"/>
    <n v="0.28100000000000003"/>
    <n v="0.28100000000000003"/>
    <n v="0.28100000000000003"/>
    <n v="0.28100000000000003"/>
    <n v="0"/>
    <x v="0"/>
    <n v="0"/>
    <n v="0"/>
    <n v="32"/>
    <n v="64"/>
    <n v="0"/>
    <n v="365.93"/>
    <n v="131.87"/>
    <m/>
    <n v="444.69221294724491"/>
    <n v="116.42847759142431"/>
    <n v="0"/>
    <n v="102.82633000000001"/>
    <n v="37.055470000000007"/>
    <n v="0"/>
    <n v="124.95851183817584"/>
    <n v="32.716402203190235"/>
  </r>
  <r>
    <s v="Regular"/>
    <x v="1"/>
    <x v="1"/>
    <x v="2"/>
    <x v="1"/>
    <x v="0"/>
    <x v="0"/>
    <x v="0"/>
    <x v="5"/>
    <n v="0"/>
    <n v="0"/>
    <n v="0.28499999999999998"/>
    <n v="0.28499999999999998"/>
    <n v="0.28499999999999998"/>
    <n v="0.28499999999999998"/>
    <n v="0"/>
    <x v="0"/>
    <n v="0"/>
    <n v="0"/>
    <n v="32"/>
    <n v="64"/>
    <n v="0"/>
    <n v="365.93"/>
    <n v="131.87"/>
    <m/>
    <n v="444.69221294724491"/>
    <n v="116.42847759142431"/>
    <n v="0"/>
    <n v="104.29004999999999"/>
    <n v="37.582949999999997"/>
    <n v="0"/>
    <n v="126.73728068996479"/>
    <n v="33.182116113555928"/>
  </r>
  <r>
    <s v="Regular"/>
    <x v="1"/>
    <x v="1"/>
    <x v="2"/>
    <x v="1"/>
    <x v="0"/>
    <x v="0"/>
    <x v="0"/>
    <x v="6"/>
    <n v="0"/>
    <n v="0"/>
    <n v="0.26400000000000001"/>
    <n v="0.26400000000000001"/>
    <n v="0.26400000000000001"/>
    <n v="0.26400000000000001"/>
    <n v="0"/>
    <x v="0"/>
    <n v="0"/>
    <n v="0"/>
    <n v="32"/>
    <n v="64"/>
    <n v="0"/>
    <n v="365.93"/>
    <n v="131.87"/>
    <m/>
    <n v="444.69221294724491"/>
    <n v="116.42847759142431"/>
    <n v="0"/>
    <n v="96.605520000000013"/>
    <n v="34.813680000000005"/>
    <n v="0"/>
    <n v="117.39874421807266"/>
    <n v="30.737118084136018"/>
  </r>
  <r>
    <s v="Regular"/>
    <x v="1"/>
    <x v="1"/>
    <x v="2"/>
    <x v="1"/>
    <x v="0"/>
    <x v="0"/>
    <x v="0"/>
    <x v="7"/>
    <n v="0"/>
    <n v="0"/>
    <n v="0.27400000000000002"/>
    <n v="0.27400000000000002"/>
    <n v="0.27400000000000002"/>
    <n v="0.27400000000000002"/>
    <n v="0"/>
    <x v="0"/>
    <n v="0"/>
    <n v="0"/>
    <n v="32"/>
    <n v="64"/>
    <n v="0"/>
    <n v="365.93"/>
    <n v="131.87"/>
    <m/>
    <n v="444.69221294724491"/>
    <n v="116.42847759142431"/>
    <n v="0"/>
    <n v="100.26482000000001"/>
    <n v="36.132380000000005"/>
    <n v="0"/>
    <n v="121.84566634754512"/>
    <n v="31.901402860050265"/>
  </r>
  <r>
    <s v="Regular"/>
    <x v="1"/>
    <x v="1"/>
    <x v="2"/>
    <x v="1"/>
    <x v="0"/>
    <x v="0"/>
    <x v="0"/>
    <x v="8"/>
    <n v="0"/>
    <n v="0"/>
    <n v="0.21"/>
    <n v="0.21"/>
    <n v="0.21"/>
    <n v="0.21"/>
    <n v="0"/>
    <x v="0"/>
    <n v="0"/>
    <n v="0"/>
    <n v="32"/>
    <n v="64"/>
    <n v="0"/>
    <n v="365.93"/>
    <n v="131.87"/>
    <m/>
    <n v="444.69221294724491"/>
    <n v="116.42847759142431"/>
    <n v="0"/>
    <n v="76.845299999999995"/>
    <n v="27.692699999999999"/>
    <n v="0"/>
    <n v="93.385364718921423"/>
    <n v="24.449980294199104"/>
  </r>
  <r>
    <s v="Regular"/>
    <x v="1"/>
    <x v="1"/>
    <x v="2"/>
    <x v="1"/>
    <x v="0"/>
    <x v="0"/>
    <x v="3"/>
    <x v="0"/>
    <n v="0"/>
    <n v="0"/>
    <n v="1.4999999999999999E-2"/>
    <n v="1.4999999999999999E-2"/>
    <n v="1.4999999999999999E-2"/>
    <n v="1.4999999999999999E-2"/>
    <n v="0"/>
    <x v="0"/>
    <n v="0"/>
    <n v="0"/>
    <n v="5"/>
    <n v="36"/>
    <n v="0"/>
    <n v="893.11"/>
    <n v="131.87"/>
    <m/>
    <n v="1067.0560320838438"/>
    <n v="116.42847759142431"/>
    <n v="0"/>
    <n v="13.396649999999999"/>
    <n v="1.9780500000000001"/>
    <n v="0"/>
    <n v="16.005840481257657"/>
    <n v="1.7464271638713647"/>
  </r>
  <r>
    <s v="Regular"/>
    <x v="1"/>
    <x v="1"/>
    <x v="2"/>
    <x v="1"/>
    <x v="0"/>
    <x v="0"/>
    <x v="3"/>
    <x v="1"/>
    <n v="0"/>
    <n v="0"/>
    <n v="1.6E-2"/>
    <n v="1.6E-2"/>
    <n v="1.6E-2"/>
    <n v="1.6E-2"/>
    <n v="0"/>
    <x v="0"/>
    <n v="0"/>
    <n v="0"/>
    <n v="5"/>
    <n v="36"/>
    <n v="0"/>
    <n v="893.11"/>
    <n v="131.87"/>
    <m/>
    <n v="1067.0560320838438"/>
    <n v="116.42847759142431"/>
    <n v="0"/>
    <n v="14.289760000000001"/>
    <n v="2.1099200000000002"/>
    <n v="0"/>
    <n v="17.072896513341501"/>
    <n v="1.862855641462789"/>
  </r>
  <r>
    <s v="Regular"/>
    <x v="1"/>
    <x v="1"/>
    <x v="2"/>
    <x v="1"/>
    <x v="0"/>
    <x v="0"/>
    <x v="3"/>
    <x v="2"/>
    <n v="0"/>
    <n v="0"/>
    <n v="1.6E-2"/>
    <n v="1.6E-2"/>
    <n v="1.6E-2"/>
    <n v="1.6E-2"/>
    <n v="0"/>
    <x v="0"/>
    <n v="0"/>
    <n v="0"/>
    <n v="5"/>
    <n v="36"/>
    <n v="0"/>
    <n v="893.11"/>
    <n v="131.87"/>
    <m/>
    <n v="1067.0560320838438"/>
    <n v="116.42847759142431"/>
    <n v="0"/>
    <n v="14.289760000000001"/>
    <n v="2.1099200000000002"/>
    <n v="0"/>
    <n v="17.072896513341501"/>
    <n v="1.862855641462789"/>
  </r>
  <r>
    <s v="Regular"/>
    <x v="1"/>
    <x v="1"/>
    <x v="2"/>
    <x v="1"/>
    <x v="0"/>
    <x v="0"/>
    <x v="3"/>
    <x v="3"/>
    <n v="0"/>
    <n v="0"/>
    <n v="1.7999999999999999E-2"/>
    <n v="1.7999999999999999E-2"/>
    <n v="1.7999999999999999E-2"/>
    <n v="1.7999999999999999E-2"/>
    <n v="0"/>
    <x v="0"/>
    <n v="0"/>
    <n v="0"/>
    <n v="5"/>
    <n v="36"/>
    <n v="0"/>
    <n v="893.11"/>
    <n v="131.87"/>
    <m/>
    <n v="1067.0560320838438"/>
    <n v="116.42847759142431"/>
    <n v="0"/>
    <n v="16.075979999999998"/>
    <n v="2.3736600000000001"/>
    <n v="0"/>
    <n v="19.207008577509185"/>
    <n v="2.0957125966456376"/>
  </r>
  <r>
    <s v="Regular"/>
    <x v="1"/>
    <x v="1"/>
    <x v="2"/>
    <x v="1"/>
    <x v="0"/>
    <x v="0"/>
    <x v="3"/>
    <x v="4"/>
    <n v="0"/>
    <n v="0"/>
    <n v="1.6E-2"/>
    <n v="1.6E-2"/>
    <n v="1.6E-2"/>
    <n v="1.6E-2"/>
    <n v="0"/>
    <x v="0"/>
    <n v="0"/>
    <n v="0"/>
    <n v="5"/>
    <n v="36"/>
    <n v="0"/>
    <n v="893.11"/>
    <n v="131.87"/>
    <m/>
    <n v="1067.0560320838438"/>
    <n v="116.42847759142431"/>
    <n v="0"/>
    <n v="14.289760000000001"/>
    <n v="2.1099200000000002"/>
    <n v="0"/>
    <n v="17.072896513341501"/>
    <n v="1.862855641462789"/>
  </r>
  <r>
    <s v="Sistema de Compensação"/>
    <x v="1"/>
    <x v="1"/>
    <x v="2"/>
    <x v="1"/>
    <x v="0"/>
    <x v="0"/>
    <x v="3"/>
    <x v="4"/>
    <n v="0"/>
    <n v="0"/>
    <n v="8.4000000000000005E-2"/>
    <n v="8.4000000000000005E-2"/>
    <n v="8.4000000000000005E-2"/>
    <n v="8.4000000000000005E-2"/>
    <n v="0"/>
    <x v="0"/>
    <n v="0"/>
    <n v="0"/>
    <n v="5"/>
    <n v="36"/>
    <n v="0"/>
    <n v="893.11"/>
    <n v="131.87"/>
    <m/>
    <n v="1067.0560320838438"/>
    <n v="116.42847759142431"/>
    <n v="0"/>
    <n v="75.021240000000006"/>
    <n v="11.07708"/>
    <n v="0"/>
    <n v="89.632706695042884"/>
    <n v="9.779992117679642"/>
  </r>
  <r>
    <s v="Regular"/>
    <x v="1"/>
    <x v="1"/>
    <x v="2"/>
    <x v="1"/>
    <x v="0"/>
    <x v="0"/>
    <x v="3"/>
    <x v="5"/>
    <n v="0"/>
    <n v="0"/>
    <n v="1.7999999999999999E-2"/>
    <n v="1.7999999999999999E-2"/>
    <n v="1.7999999999999999E-2"/>
    <n v="1.7999999999999999E-2"/>
    <n v="0"/>
    <x v="0"/>
    <n v="0"/>
    <n v="0"/>
    <n v="5"/>
    <n v="36"/>
    <n v="0"/>
    <n v="893.11"/>
    <n v="131.87"/>
    <m/>
    <n v="1067.0560320838438"/>
    <n v="116.42847759142431"/>
    <n v="0"/>
    <n v="16.075979999999998"/>
    <n v="2.3736600000000001"/>
    <n v="0"/>
    <n v="19.207008577509185"/>
    <n v="2.0957125966456376"/>
  </r>
  <r>
    <s v="Sistema de Compensação"/>
    <x v="1"/>
    <x v="1"/>
    <x v="2"/>
    <x v="1"/>
    <x v="0"/>
    <x v="0"/>
    <x v="3"/>
    <x v="5"/>
    <n v="0"/>
    <n v="0"/>
    <n v="5.7000000000000002E-2"/>
    <n v="5.7000000000000002E-2"/>
    <n v="5.7000000000000002E-2"/>
    <n v="5.7000000000000002E-2"/>
    <n v="0"/>
    <x v="0"/>
    <n v="0"/>
    <n v="0"/>
    <n v="5"/>
    <n v="36"/>
    <n v="0"/>
    <n v="893.11"/>
    <n v="131.87"/>
    <m/>
    <n v="1067.0560320838438"/>
    <n v="116.42847759142431"/>
    <n v="0"/>
    <n v="50.907270000000004"/>
    <n v="7.5165900000000008"/>
    <n v="0"/>
    <n v="60.822193828779099"/>
    <n v="6.6364232227111861"/>
  </r>
  <r>
    <s v="Regular"/>
    <x v="1"/>
    <x v="1"/>
    <x v="2"/>
    <x v="1"/>
    <x v="0"/>
    <x v="0"/>
    <x v="3"/>
    <x v="6"/>
    <n v="0"/>
    <n v="0"/>
    <n v="0.02"/>
    <n v="0.02"/>
    <n v="0.02"/>
    <n v="0.02"/>
    <n v="0"/>
    <x v="0"/>
    <n v="0"/>
    <n v="0"/>
    <n v="5"/>
    <n v="36"/>
    <n v="0"/>
    <n v="893.11"/>
    <n v="131.87"/>
    <m/>
    <n v="1067.0560320838438"/>
    <n v="116.42847759142431"/>
    <n v="0"/>
    <n v="17.862200000000001"/>
    <n v="2.6374"/>
    <n v="0"/>
    <n v="21.341120641676877"/>
    <n v="2.3285695518284864"/>
  </r>
  <r>
    <s v="Regular"/>
    <x v="1"/>
    <x v="1"/>
    <x v="2"/>
    <x v="1"/>
    <x v="0"/>
    <x v="0"/>
    <x v="3"/>
    <x v="7"/>
    <n v="0"/>
    <n v="0"/>
    <n v="0.02"/>
    <n v="0.02"/>
    <n v="0.02"/>
    <n v="0.02"/>
    <n v="0"/>
    <x v="0"/>
    <n v="0"/>
    <n v="0"/>
    <n v="5"/>
    <n v="36"/>
    <n v="0"/>
    <n v="893.11"/>
    <n v="131.87"/>
    <m/>
    <n v="1067.0560320838438"/>
    <n v="116.42847759142431"/>
    <n v="0"/>
    <n v="17.862200000000001"/>
    <n v="2.6374"/>
    <n v="0"/>
    <n v="21.341120641676877"/>
    <n v="2.3285695518284864"/>
  </r>
  <r>
    <s v="Regular"/>
    <x v="1"/>
    <x v="1"/>
    <x v="2"/>
    <x v="1"/>
    <x v="0"/>
    <x v="0"/>
    <x v="3"/>
    <x v="8"/>
    <n v="0"/>
    <n v="0"/>
    <n v="1.4999999999999999E-2"/>
    <n v="1.4999999999999999E-2"/>
    <n v="1.4999999999999999E-2"/>
    <n v="1.4999999999999999E-2"/>
    <n v="0"/>
    <x v="0"/>
    <n v="0"/>
    <n v="0"/>
    <n v="5"/>
    <n v="36"/>
    <n v="0"/>
    <n v="893.11"/>
    <n v="131.87"/>
    <m/>
    <n v="1067.0560320838438"/>
    <n v="116.42847759142431"/>
    <n v="0"/>
    <n v="13.396649999999999"/>
    <n v="1.9780500000000001"/>
    <n v="0"/>
    <n v="16.005840481257657"/>
    <n v="1.7464271638713647"/>
  </r>
  <r>
    <s v="Regular"/>
    <x v="1"/>
    <x v="1"/>
    <x v="2"/>
    <x v="1"/>
    <x v="0"/>
    <x v="0"/>
    <x v="2"/>
    <x v="0"/>
    <n v="0"/>
    <n v="0"/>
    <n v="2.1999999999999999E-2"/>
    <n v="2.1999999999999999E-2"/>
    <n v="2.1999999999999999E-2"/>
    <n v="2.1999999999999999E-2"/>
    <n v="0"/>
    <x v="0"/>
    <n v="0"/>
    <n v="0"/>
    <n v="10"/>
    <n v="57"/>
    <n v="0"/>
    <n v="1420.34"/>
    <n v="131.87"/>
    <m/>
    <n v="1689.4816587731566"/>
    <n v="116.42847759142431"/>
    <n v="0"/>
    <n v="31.247479999999996"/>
    <n v="2.9011399999999998"/>
    <n v="0"/>
    <n v="37.168596493009446"/>
    <n v="2.5614265070113347"/>
  </r>
  <r>
    <s v="Regular"/>
    <x v="1"/>
    <x v="1"/>
    <x v="2"/>
    <x v="1"/>
    <x v="0"/>
    <x v="0"/>
    <x v="2"/>
    <x v="1"/>
    <n v="0"/>
    <n v="0"/>
    <n v="2.3E-2"/>
    <n v="2.3E-2"/>
    <n v="2.3E-2"/>
    <n v="2.3E-2"/>
    <n v="0"/>
    <x v="0"/>
    <n v="0"/>
    <n v="0"/>
    <n v="10"/>
    <n v="57"/>
    <n v="0"/>
    <n v="1420.34"/>
    <n v="131.87"/>
    <m/>
    <n v="1689.4816587731566"/>
    <n v="116.42847759142431"/>
    <n v="0"/>
    <n v="32.667819999999999"/>
    <n v="3.03301"/>
    <n v="0"/>
    <n v="38.8580781517826"/>
    <n v="2.6778549846027593"/>
  </r>
  <r>
    <s v="Regular"/>
    <x v="1"/>
    <x v="1"/>
    <x v="2"/>
    <x v="1"/>
    <x v="0"/>
    <x v="0"/>
    <x v="2"/>
    <x v="2"/>
    <n v="0"/>
    <n v="0"/>
    <n v="2.5999999999999999E-2"/>
    <n v="2.5999999999999999E-2"/>
    <n v="2.5999999999999999E-2"/>
    <n v="2.5999999999999999E-2"/>
    <n v="0"/>
    <x v="0"/>
    <n v="0"/>
    <n v="0"/>
    <n v="10"/>
    <n v="57"/>
    <n v="0"/>
    <n v="1420.34"/>
    <n v="131.87"/>
    <m/>
    <n v="1689.4816587731566"/>
    <n v="116.42847759142431"/>
    <n v="0"/>
    <n v="36.928839999999994"/>
    <n v="3.42862"/>
    <n v="0"/>
    <n v="43.926523128102069"/>
    <n v="3.0271404173770318"/>
  </r>
  <r>
    <s v="Regular"/>
    <x v="1"/>
    <x v="1"/>
    <x v="2"/>
    <x v="1"/>
    <x v="0"/>
    <x v="0"/>
    <x v="2"/>
    <x v="3"/>
    <n v="0"/>
    <n v="0"/>
    <n v="2.4E-2"/>
    <n v="2.4E-2"/>
    <n v="2.4E-2"/>
    <n v="2.4E-2"/>
    <n v="0"/>
    <x v="0"/>
    <n v="0"/>
    <n v="0"/>
    <n v="10"/>
    <n v="57"/>
    <n v="0"/>
    <n v="1420.34"/>
    <n v="131.87"/>
    <m/>
    <n v="1689.4816587731566"/>
    <n v="116.42847759142431"/>
    <n v="0"/>
    <n v="34.088160000000002"/>
    <n v="3.1648800000000001"/>
    <n v="0"/>
    <n v="40.547559810555761"/>
    <n v="2.7942834621941834"/>
  </r>
  <r>
    <s v="Regular"/>
    <x v="1"/>
    <x v="1"/>
    <x v="2"/>
    <x v="1"/>
    <x v="0"/>
    <x v="0"/>
    <x v="2"/>
    <x v="4"/>
    <n v="0"/>
    <n v="0"/>
    <n v="2.1999999999999999E-2"/>
    <n v="2.1999999999999999E-2"/>
    <n v="2.1999999999999999E-2"/>
    <n v="2.1999999999999999E-2"/>
    <n v="0"/>
    <x v="0"/>
    <n v="0"/>
    <n v="0"/>
    <n v="10"/>
    <n v="57"/>
    <n v="0"/>
    <n v="1420.34"/>
    <n v="131.87"/>
    <m/>
    <n v="1689.4816587731566"/>
    <n v="116.42847759142431"/>
    <n v="0"/>
    <n v="31.247479999999996"/>
    <n v="2.9011399999999998"/>
    <n v="0"/>
    <n v="37.168596493009446"/>
    <n v="2.5614265070113347"/>
  </r>
  <r>
    <s v="Regular"/>
    <x v="1"/>
    <x v="1"/>
    <x v="2"/>
    <x v="1"/>
    <x v="0"/>
    <x v="0"/>
    <x v="2"/>
    <x v="5"/>
    <n v="0"/>
    <n v="0"/>
    <n v="2.7E-2"/>
    <n v="2.7E-2"/>
    <n v="2.7E-2"/>
    <n v="2.7E-2"/>
    <n v="0"/>
    <x v="0"/>
    <n v="0"/>
    <n v="0"/>
    <n v="10"/>
    <n v="57"/>
    <n v="0"/>
    <n v="1420.34"/>
    <n v="131.87"/>
    <m/>
    <n v="1689.4816587731566"/>
    <n v="116.42847759142431"/>
    <n v="0"/>
    <n v="38.349179999999997"/>
    <n v="3.5604900000000002"/>
    <n v="0"/>
    <n v="45.61600478687523"/>
    <n v="3.1435688949684564"/>
  </r>
  <r>
    <s v="Regular"/>
    <x v="1"/>
    <x v="1"/>
    <x v="2"/>
    <x v="1"/>
    <x v="0"/>
    <x v="0"/>
    <x v="2"/>
    <x v="6"/>
    <n v="0"/>
    <n v="0"/>
    <n v="2.9000000000000001E-2"/>
    <n v="2.9000000000000001E-2"/>
    <n v="2.9000000000000001E-2"/>
    <n v="2.9000000000000001E-2"/>
    <n v="0"/>
    <x v="0"/>
    <n v="0"/>
    <n v="0"/>
    <n v="10"/>
    <n v="57"/>
    <n v="0"/>
    <n v="1420.34"/>
    <n v="131.87"/>
    <m/>
    <n v="1689.4816587731566"/>
    <n v="116.42847759142431"/>
    <n v="0"/>
    <n v="41.189860000000003"/>
    <n v="3.8242300000000005"/>
    <n v="0"/>
    <n v="48.994968104421545"/>
    <n v="3.3764258501513051"/>
  </r>
  <r>
    <s v="Regular"/>
    <x v="1"/>
    <x v="1"/>
    <x v="2"/>
    <x v="1"/>
    <x v="0"/>
    <x v="0"/>
    <x v="2"/>
    <x v="7"/>
    <n v="0"/>
    <n v="0"/>
    <n v="2.9000000000000001E-2"/>
    <n v="2.9000000000000001E-2"/>
    <n v="2.9000000000000001E-2"/>
    <n v="2.9000000000000001E-2"/>
    <n v="0"/>
    <x v="0"/>
    <n v="0"/>
    <n v="0"/>
    <n v="10"/>
    <n v="57"/>
    <n v="0"/>
    <n v="1420.34"/>
    <n v="131.87"/>
    <m/>
    <n v="1689.4816587731566"/>
    <n v="116.42847759142431"/>
    <n v="0"/>
    <n v="41.189860000000003"/>
    <n v="3.8242300000000005"/>
    <n v="0"/>
    <n v="48.994968104421545"/>
    <n v="3.3764258501513051"/>
  </r>
  <r>
    <s v="Regular"/>
    <x v="1"/>
    <x v="1"/>
    <x v="2"/>
    <x v="1"/>
    <x v="0"/>
    <x v="0"/>
    <x v="2"/>
    <x v="8"/>
    <n v="0"/>
    <n v="0"/>
    <n v="2.4E-2"/>
    <n v="2.4E-2"/>
    <n v="2.4E-2"/>
    <n v="2.4E-2"/>
    <n v="0"/>
    <x v="0"/>
    <n v="0"/>
    <n v="0"/>
    <n v="10"/>
    <n v="57"/>
    <n v="0"/>
    <n v="1420.34"/>
    <n v="131.87"/>
    <m/>
    <n v="1689.4816587731566"/>
    <n v="116.42847759142431"/>
    <n v="0"/>
    <n v="34.088160000000002"/>
    <n v="3.1648800000000001"/>
    <n v="0"/>
    <n v="40.547559810555761"/>
    <n v="2.7942834621941834"/>
  </r>
  <r>
    <s v="Regular"/>
    <x v="1"/>
    <x v="2"/>
    <x v="2"/>
    <x v="1"/>
    <x v="0"/>
    <x v="0"/>
    <x v="1"/>
    <x v="0"/>
    <n v="0"/>
    <n v="0"/>
    <n v="990.41099999999994"/>
    <n v="990.41099999999994"/>
    <n v="990.41099999999994"/>
    <n v="990.41099999999994"/>
    <n v="6042"/>
    <x v="0"/>
    <n v="0"/>
    <n v="0"/>
    <n v="24"/>
    <n v="26"/>
    <n v="0"/>
    <n v="556.84"/>
    <n v="131.87"/>
    <m/>
    <n v="670.0842907267272"/>
    <n v="116.42847759142431"/>
    <n v="0"/>
    <n v="551500.46123999998"/>
    <n v="130605.49857"/>
    <n v="0"/>
    <n v="663658.85246294853"/>
    <n v="115312.04491980014"/>
  </r>
  <r>
    <s v="Refaturamento - Regular"/>
    <x v="1"/>
    <x v="2"/>
    <x v="2"/>
    <x v="1"/>
    <x v="0"/>
    <x v="0"/>
    <x v="1"/>
    <x v="0"/>
    <n v="0"/>
    <n v="0"/>
    <n v="-1.371"/>
    <n v="-1.371"/>
    <n v="-1.371"/>
    <n v="-1.371"/>
    <n v="0"/>
    <x v="0"/>
    <n v="0"/>
    <n v="0"/>
    <n v="24"/>
    <n v="26"/>
    <n v="0"/>
    <n v="556.84"/>
    <n v="131.87"/>
    <m/>
    <n v="670.0842907267272"/>
    <n v="116.42847759142431"/>
    <n v="0"/>
    <n v="-763.42764"/>
    <n v="-180.79376999999999"/>
    <n v="0"/>
    <n v="-918.68556258634294"/>
    <n v="-159.62344277784274"/>
  </r>
  <r>
    <s v="Sistema de Compensação"/>
    <x v="1"/>
    <x v="2"/>
    <x v="2"/>
    <x v="1"/>
    <x v="0"/>
    <x v="0"/>
    <x v="1"/>
    <x v="0"/>
    <n v="0"/>
    <n v="0"/>
    <n v="1.0529999999999999"/>
    <n v="1.0529999999999999"/>
    <n v="1.0529999999999999"/>
    <n v="1.0529999999999999"/>
    <n v="9"/>
    <x v="0"/>
    <n v="0"/>
    <n v="0"/>
    <n v="24"/>
    <n v="26"/>
    <n v="0"/>
    <n v="556.84"/>
    <n v="131.87"/>
    <m/>
    <n v="670.0842907267272"/>
    <n v="116.42847759142431"/>
    <n v="0"/>
    <n v="586.35252000000003"/>
    <n v="138.85910999999999"/>
    <n v="0"/>
    <n v="705.59875813524366"/>
    <n v="122.59918690376979"/>
  </r>
  <r>
    <s v="Regular"/>
    <x v="1"/>
    <x v="2"/>
    <x v="2"/>
    <x v="1"/>
    <x v="0"/>
    <x v="0"/>
    <x v="1"/>
    <x v="1"/>
    <n v="0"/>
    <n v="0"/>
    <n v="1058.614"/>
    <n v="1058.614"/>
    <n v="1058.614"/>
    <n v="1058.614"/>
    <n v="6049"/>
    <x v="0"/>
    <n v="0"/>
    <n v="0"/>
    <n v="24"/>
    <n v="26"/>
    <n v="0"/>
    <n v="556.84"/>
    <n v="131.87"/>
    <m/>
    <n v="670.0842907267272"/>
    <n v="116.42847759142431"/>
    <n v="0"/>
    <n v="589478.61976000003"/>
    <n v="139599.42818000002"/>
    <n v="0"/>
    <n v="709360.61134338356"/>
    <n v="123252.81637696805"/>
  </r>
  <r>
    <s v="Sistema de Compensação"/>
    <x v="1"/>
    <x v="2"/>
    <x v="2"/>
    <x v="1"/>
    <x v="0"/>
    <x v="0"/>
    <x v="1"/>
    <x v="1"/>
    <n v="0"/>
    <n v="0"/>
    <n v="1.0389999999999999"/>
    <n v="1.0389999999999999"/>
    <n v="1.0389999999999999"/>
    <n v="1.0389999999999999"/>
    <n v="9"/>
    <x v="0"/>
    <n v="0"/>
    <n v="0"/>
    <n v="24"/>
    <n v="26"/>
    <n v="0"/>
    <n v="556.84"/>
    <n v="131.87"/>
    <m/>
    <n v="670.0842907267272"/>
    <n v="116.42847759142431"/>
    <n v="0"/>
    <n v="578.55675999999994"/>
    <n v="137.01292999999998"/>
    <n v="0"/>
    <n v="696.21757806506946"/>
    <n v="120.96918821748984"/>
  </r>
  <r>
    <s v="Regular"/>
    <x v="1"/>
    <x v="2"/>
    <x v="2"/>
    <x v="1"/>
    <x v="0"/>
    <x v="0"/>
    <x v="1"/>
    <x v="2"/>
    <n v="0"/>
    <n v="0"/>
    <n v="1019.7910000000001"/>
    <n v="1019.7910000000001"/>
    <n v="1019.7910000000001"/>
    <n v="1019.7910000000001"/>
    <n v="6068"/>
    <x v="0"/>
    <n v="0"/>
    <n v="0"/>
    <n v="24"/>
    <n v="26"/>
    <n v="0"/>
    <n v="556.84"/>
    <n v="131.87"/>
    <m/>
    <n v="670.0842907267272"/>
    <n v="116.42847759142431"/>
    <n v="0"/>
    <n v="567860.42044000002"/>
    <n v="134479.83917000002"/>
    <n v="0"/>
    <n v="683345.92892449989"/>
    <n v="118732.7135914362"/>
  </r>
  <r>
    <s v="Refaturamento - Regular"/>
    <x v="1"/>
    <x v="2"/>
    <x v="2"/>
    <x v="1"/>
    <x v="0"/>
    <x v="0"/>
    <x v="1"/>
    <x v="2"/>
    <n v="0"/>
    <n v="0"/>
    <n v="-0.21299999999999999"/>
    <n v="-0.21299999999999999"/>
    <n v="-0.21299999999999999"/>
    <n v="-0.21299999999999999"/>
    <n v="0"/>
    <x v="0"/>
    <n v="0"/>
    <n v="0"/>
    <n v="24"/>
    <n v="26"/>
    <n v="0"/>
    <n v="556.84"/>
    <n v="131.87"/>
    <m/>
    <n v="670.0842907267272"/>
    <n v="116.42847759142431"/>
    <n v="0"/>
    <n v="-118.60692"/>
    <n v="-28.08831"/>
    <n v="0"/>
    <n v="-142.7279539247929"/>
    <n v="-24.799265726973378"/>
  </r>
  <r>
    <s v="Sistema de Compensação"/>
    <x v="1"/>
    <x v="2"/>
    <x v="2"/>
    <x v="1"/>
    <x v="0"/>
    <x v="0"/>
    <x v="1"/>
    <x v="2"/>
    <n v="0"/>
    <n v="0"/>
    <n v="1.869"/>
    <n v="1.869"/>
    <n v="1.869"/>
    <n v="1.869"/>
    <n v="11"/>
    <x v="0"/>
    <n v="0"/>
    <n v="0"/>
    <n v="24"/>
    <n v="26"/>
    <n v="0"/>
    <n v="556.84"/>
    <n v="131.87"/>
    <m/>
    <n v="670.0842907267272"/>
    <n v="116.42847759142431"/>
    <n v="0"/>
    <n v="1040.73396"/>
    <n v="246.46503000000001"/>
    <n v="0"/>
    <n v="1252.3875393682531"/>
    <n v="217.60482461837205"/>
  </r>
  <r>
    <s v="Regular"/>
    <x v="1"/>
    <x v="2"/>
    <x v="2"/>
    <x v="1"/>
    <x v="0"/>
    <x v="0"/>
    <x v="1"/>
    <x v="3"/>
    <n v="0"/>
    <n v="0"/>
    <n v="1046.424"/>
    <n v="1046.424"/>
    <n v="1046.424"/>
    <n v="1046.424"/>
    <n v="6077"/>
    <x v="0"/>
    <n v="0"/>
    <n v="0"/>
    <n v="24"/>
    <n v="26"/>
    <n v="0"/>
    <n v="556.84"/>
    <n v="131.87"/>
    <m/>
    <n v="670.0842907267272"/>
    <n v="116.42847759142431"/>
    <n v="0"/>
    <n v="582690.74016000004"/>
    <n v="137991.93288000001"/>
    <n v="0"/>
    <n v="701192.28383942472"/>
    <n v="121833.55323512859"/>
  </r>
  <r>
    <s v="Refaturamento - Regular"/>
    <x v="1"/>
    <x v="2"/>
    <x v="2"/>
    <x v="1"/>
    <x v="0"/>
    <x v="0"/>
    <x v="1"/>
    <x v="3"/>
    <n v="0"/>
    <n v="0"/>
    <n v="-1.2999999999999999E-2"/>
    <n v="-1.2999999999999999E-2"/>
    <n v="-1.2999999999999999E-2"/>
    <n v="-1.2999999999999999E-2"/>
    <n v="0"/>
    <x v="0"/>
    <n v="0"/>
    <n v="0"/>
    <n v="24"/>
    <n v="26"/>
    <n v="0"/>
    <n v="556.84"/>
    <n v="131.87"/>
    <m/>
    <n v="670.0842907267272"/>
    <n v="116.42847759142431"/>
    <n v="0"/>
    <n v="-7.2389200000000002"/>
    <n v="-1.71431"/>
    <n v="0"/>
    <n v="-8.7110957794474526"/>
    <n v="-1.5135702086885159"/>
  </r>
  <r>
    <s v="Sistema de Compensação"/>
    <x v="1"/>
    <x v="2"/>
    <x v="2"/>
    <x v="1"/>
    <x v="0"/>
    <x v="0"/>
    <x v="1"/>
    <x v="3"/>
    <n v="0"/>
    <n v="0"/>
    <n v="1.542"/>
    <n v="1.542"/>
    <n v="1.542"/>
    <n v="1.542"/>
    <n v="12"/>
    <x v="0"/>
    <n v="0"/>
    <n v="0"/>
    <n v="24"/>
    <n v="26"/>
    <n v="0"/>
    <n v="556.84"/>
    <n v="131.87"/>
    <m/>
    <n v="670.0842907267272"/>
    <n v="116.42847759142431"/>
    <n v="0"/>
    <n v="858.64728000000002"/>
    <n v="203.34354000000002"/>
    <n v="0"/>
    <n v="1033.2699763006133"/>
    <n v="179.5327124459763"/>
  </r>
  <r>
    <s v="Regular"/>
    <x v="1"/>
    <x v="2"/>
    <x v="2"/>
    <x v="1"/>
    <x v="0"/>
    <x v="0"/>
    <x v="1"/>
    <x v="4"/>
    <n v="0"/>
    <n v="0"/>
    <n v="1000.038"/>
    <n v="1000.038"/>
    <n v="1000.038"/>
    <n v="1000.038"/>
    <n v="6064"/>
    <x v="0"/>
    <n v="0"/>
    <n v="0"/>
    <n v="24"/>
    <n v="26"/>
    <n v="0"/>
    <n v="556.84"/>
    <n v="131.87"/>
    <m/>
    <n v="670.0842907267272"/>
    <n v="116.42847759142431"/>
    <n v="0"/>
    <n v="556861.15992000001"/>
    <n v="131875.01106000002"/>
    <n v="0"/>
    <n v="670109.75392977486"/>
    <n v="116432.90187357279"/>
  </r>
  <r>
    <s v="Refaturamento - Regular"/>
    <x v="1"/>
    <x v="2"/>
    <x v="2"/>
    <x v="1"/>
    <x v="0"/>
    <x v="0"/>
    <x v="1"/>
    <x v="4"/>
    <n v="0"/>
    <n v="0"/>
    <n v="-0.17399999999999999"/>
    <n v="-0.17399999999999999"/>
    <n v="-0.17399999999999999"/>
    <n v="-0.17399999999999999"/>
    <n v="0"/>
    <x v="0"/>
    <n v="0"/>
    <n v="0"/>
    <n v="24"/>
    <n v="26"/>
    <n v="0"/>
    <n v="556.84"/>
    <n v="131.87"/>
    <m/>
    <n v="670.0842907267272"/>
    <n v="116.42847759142431"/>
    <n v="0"/>
    <n v="-96.890159999999995"/>
    <n v="-22.94538"/>
    <n v="0"/>
    <n v="-116.59466658645053"/>
    <n v="-20.258555100907827"/>
  </r>
  <r>
    <s v="Sistema de Compensação"/>
    <x v="1"/>
    <x v="2"/>
    <x v="2"/>
    <x v="1"/>
    <x v="0"/>
    <x v="0"/>
    <x v="1"/>
    <x v="4"/>
    <n v="0"/>
    <n v="0"/>
    <n v="0.91800000000000004"/>
    <n v="0.91800000000000004"/>
    <n v="0.91800000000000004"/>
    <n v="0.91800000000000004"/>
    <n v="13"/>
    <x v="0"/>
    <n v="0"/>
    <n v="0"/>
    <n v="24"/>
    <n v="26"/>
    <n v="0"/>
    <n v="556.84"/>
    <n v="131.87"/>
    <m/>
    <n v="670.0842907267272"/>
    <n v="116.42847759142431"/>
    <n v="0"/>
    <n v="511.17912000000007"/>
    <n v="121.05666000000001"/>
    <n v="0"/>
    <n v="615.13737888713558"/>
    <n v="106.88134242892752"/>
  </r>
  <r>
    <s v="Regular"/>
    <x v="1"/>
    <x v="2"/>
    <x v="2"/>
    <x v="1"/>
    <x v="0"/>
    <x v="0"/>
    <x v="1"/>
    <x v="5"/>
    <n v="0"/>
    <n v="0"/>
    <n v="964.93299999999999"/>
    <n v="964.93299999999999"/>
    <n v="964.93299999999999"/>
    <n v="964.93299999999999"/>
    <n v="6067"/>
    <x v="0"/>
    <n v="0"/>
    <n v="0"/>
    <n v="24"/>
    <n v="26"/>
    <n v="0"/>
    <n v="556.84"/>
    <n v="131.87"/>
    <m/>
    <n v="670.0842907267272"/>
    <n v="116.42847759142431"/>
    <n v="0"/>
    <n v="537313.29171999998"/>
    <n v="127245.71471"/>
    <n v="0"/>
    <n v="646586.44490381307"/>
    <n v="112345.68016772583"/>
  </r>
  <r>
    <s v="Sistema de Compensação"/>
    <x v="1"/>
    <x v="2"/>
    <x v="2"/>
    <x v="1"/>
    <x v="0"/>
    <x v="0"/>
    <x v="1"/>
    <x v="5"/>
    <n v="0"/>
    <n v="0"/>
    <n v="0.83799999999999997"/>
    <n v="0.83799999999999997"/>
    <n v="0.83799999999999997"/>
    <n v="0.83799999999999997"/>
    <n v="15"/>
    <x v="0"/>
    <n v="0"/>
    <n v="0"/>
    <n v="24"/>
    <n v="26"/>
    <n v="0"/>
    <n v="556.84"/>
    <n v="131.87"/>
    <m/>
    <n v="670.0842907267272"/>
    <n v="116.42847759142431"/>
    <n v="0"/>
    <n v="466.63192000000004"/>
    <n v="110.50706"/>
    <n v="0"/>
    <n v="561.5306356289974"/>
    <n v="97.567064221613563"/>
  </r>
  <r>
    <s v="Regular"/>
    <x v="1"/>
    <x v="2"/>
    <x v="2"/>
    <x v="1"/>
    <x v="0"/>
    <x v="0"/>
    <x v="1"/>
    <x v="6"/>
    <n v="0"/>
    <n v="0"/>
    <n v="1096.056"/>
    <n v="1096.056"/>
    <n v="1096.056"/>
    <n v="1096.056"/>
    <n v="6066"/>
    <x v="0"/>
    <n v="0"/>
    <n v="0"/>
    <n v="24"/>
    <n v="26"/>
    <n v="0"/>
    <n v="556.84"/>
    <n v="131.87"/>
    <m/>
    <n v="670.0842907267272"/>
    <n v="116.42847759142431"/>
    <n v="0"/>
    <n v="610327.82304000005"/>
    <n v="144536.90472000002"/>
    <n v="0"/>
    <n v="734449.90735677374"/>
    <n v="127612.13143494618"/>
  </r>
  <r>
    <s v="Refaturamento - Regular"/>
    <x v="1"/>
    <x v="2"/>
    <x v="2"/>
    <x v="1"/>
    <x v="0"/>
    <x v="0"/>
    <x v="1"/>
    <x v="6"/>
    <n v="0"/>
    <n v="0"/>
    <n v="-0.79900000000000004"/>
    <n v="-0.79900000000000004"/>
    <n v="-0.79900000000000004"/>
    <n v="-0.79900000000000004"/>
    <n v="0"/>
    <x v="0"/>
    <n v="0"/>
    <n v="0"/>
    <n v="24"/>
    <n v="26"/>
    <n v="0"/>
    <n v="556.84"/>
    <n v="131.87"/>
    <m/>
    <n v="670.0842907267272"/>
    <n v="116.42847759142431"/>
    <n v="0"/>
    <n v="-444.91516000000007"/>
    <n v="-105.36413"/>
    <n v="0"/>
    <n v="-535.39734829065503"/>
    <n v="-93.026353595548031"/>
  </r>
  <r>
    <s v="Sistema de Compensação"/>
    <x v="1"/>
    <x v="2"/>
    <x v="2"/>
    <x v="1"/>
    <x v="0"/>
    <x v="0"/>
    <x v="1"/>
    <x v="6"/>
    <n v="0"/>
    <n v="0"/>
    <n v="1.014"/>
    <n v="1.014"/>
    <n v="1.014"/>
    <n v="1.014"/>
    <n v="15"/>
    <x v="0"/>
    <n v="0"/>
    <n v="0"/>
    <n v="24"/>
    <n v="26"/>
    <n v="0"/>
    <n v="556.84"/>
    <n v="131.87"/>
    <m/>
    <n v="670.0842907267272"/>
    <n v="116.42847759142431"/>
    <n v="0"/>
    <n v="564.63576"/>
    <n v="133.71618000000001"/>
    <n v="0"/>
    <n v="679.4654707969014"/>
    <n v="118.05847627770426"/>
  </r>
  <r>
    <s v="Regular"/>
    <x v="1"/>
    <x v="2"/>
    <x v="2"/>
    <x v="1"/>
    <x v="0"/>
    <x v="0"/>
    <x v="1"/>
    <x v="7"/>
    <n v="0"/>
    <n v="0"/>
    <n v="990.07399999999996"/>
    <n v="990.07399999999996"/>
    <n v="990.07399999999996"/>
    <n v="990.07399999999996"/>
    <n v="5995"/>
    <x v="0"/>
    <n v="0"/>
    <n v="0"/>
    <n v="24"/>
    <n v="26"/>
    <n v="0"/>
    <n v="556.84"/>
    <n v="131.87"/>
    <m/>
    <n v="670.0842907267272"/>
    <n v="116.42847759142431"/>
    <n v="0"/>
    <n v="551312.80616000004"/>
    <n v="130561.05838"/>
    <n v="0"/>
    <n v="663433.03405697364"/>
    <n v="115272.80852285183"/>
  </r>
  <r>
    <s v="Refaturamento - Regular"/>
    <x v="1"/>
    <x v="2"/>
    <x v="2"/>
    <x v="1"/>
    <x v="0"/>
    <x v="0"/>
    <x v="1"/>
    <x v="7"/>
    <n v="0"/>
    <n v="0"/>
    <n v="-0.109"/>
    <n v="-0.109"/>
    <n v="-0.109"/>
    <n v="-0.109"/>
    <n v="0"/>
    <x v="0"/>
    <n v="0"/>
    <n v="0"/>
    <n v="24"/>
    <n v="26"/>
    <n v="0"/>
    <n v="556.84"/>
    <n v="131.87"/>
    <m/>
    <n v="670.0842907267272"/>
    <n v="116.42847759142431"/>
    <n v="0"/>
    <n v="-60.69556"/>
    <n v="-14.37383"/>
    <n v="0"/>
    <n v="-73.039187689213264"/>
    <n v="-12.690704057465251"/>
  </r>
  <r>
    <s v="Sistema de Compensação"/>
    <x v="1"/>
    <x v="2"/>
    <x v="2"/>
    <x v="1"/>
    <x v="0"/>
    <x v="0"/>
    <x v="1"/>
    <x v="7"/>
    <n v="0"/>
    <n v="0"/>
    <n v="1.32"/>
    <n v="1.32"/>
    <n v="1.32"/>
    <n v="1.32"/>
    <n v="17"/>
    <x v="0"/>
    <n v="0"/>
    <n v="0"/>
    <n v="24"/>
    <n v="26"/>
    <n v="0"/>
    <n v="556.84"/>
    <n v="131.87"/>
    <m/>
    <n v="670.0842907267272"/>
    <n v="116.42847759142431"/>
    <n v="0"/>
    <n v="735.02880000000005"/>
    <n v="174.06840000000003"/>
    <n v="0"/>
    <n v="884.51126375927993"/>
    <n v="153.68559042068009"/>
  </r>
  <r>
    <s v="Regular"/>
    <x v="1"/>
    <x v="2"/>
    <x v="2"/>
    <x v="1"/>
    <x v="0"/>
    <x v="0"/>
    <x v="1"/>
    <x v="8"/>
    <n v="0"/>
    <n v="0"/>
    <n v="918.66"/>
    <n v="918.66"/>
    <n v="918.66"/>
    <n v="918.66"/>
    <n v="5776"/>
    <x v="0"/>
    <n v="0"/>
    <n v="0"/>
    <n v="24"/>
    <n v="26"/>
    <n v="0"/>
    <n v="556.84"/>
    <n v="131.87"/>
    <m/>
    <n v="670.0842907267272"/>
    <n v="116.42847759142431"/>
    <n v="0"/>
    <n v="511546.63440000004"/>
    <n v="121143.6942"/>
    <n v="0"/>
    <n v="615579.63451901521"/>
    <n v="106958.18522413785"/>
  </r>
  <r>
    <s v="Refaturamento - Regular"/>
    <x v="1"/>
    <x v="2"/>
    <x v="2"/>
    <x v="1"/>
    <x v="0"/>
    <x v="0"/>
    <x v="1"/>
    <x v="8"/>
    <n v="0"/>
    <n v="0"/>
    <n v="-0.158"/>
    <n v="-0.158"/>
    <n v="-0.158"/>
    <n v="-0.158"/>
    <n v="0"/>
    <x v="0"/>
    <n v="0"/>
    <n v="0"/>
    <n v="24"/>
    <n v="26"/>
    <n v="0"/>
    <n v="556.84"/>
    <n v="131.87"/>
    <m/>
    <n v="670.0842907267272"/>
    <n v="116.42847759142431"/>
    <n v="0"/>
    <n v="-87.980720000000005"/>
    <n v="-20.835460000000001"/>
    <n v="0"/>
    <n v="-105.87331793482289"/>
    <n v="-18.395699459445041"/>
  </r>
  <r>
    <s v="Sistema de Compensação"/>
    <x v="1"/>
    <x v="2"/>
    <x v="2"/>
    <x v="1"/>
    <x v="0"/>
    <x v="0"/>
    <x v="1"/>
    <x v="8"/>
    <n v="0"/>
    <n v="0"/>
    <n v="1.3049999999999999"/>
    <n v="1.3049999999999999"/>
    <n v="1.3049999999999999"/>
    <n v="1.3049999999999999"/>
    <n v="18"/>
    <x v="0"/>
    <n v="0"/>
    <n v="0"/>
    <n v="24"/>
    <n v="26"/>
    <n v="0"/>
    <n v="556.84"/>
    <n v="131.87"/>
    <m/>
    <n v="670.0842907267272"/>
    <n v="116.42847759142431"/>
    <n v="0"/>
    <n v="726.67619999999999"/>
    <n v="172.09035"/>
    <n v="0"/>
    <n v="874.45999939837895"/>
    <n v="151.93916325680871"/>
  </r>
  <r>
    <s v="Regular"/>
    <x v="1"/>
    <x v="2"/>
    <x v="2"/>
    <x v="1"/>
    <x v="0"/>
    <x v="0"/>
    <x v="1"/>
    <x v="9"/>
    <n v="0"/>
    <n v="0"/>
    <n v="942.64200000000005"/>
    <n v="942.64200000000005"/>
    <n v="942.64200000000005"/>
    <n v="942.64200000000005"/>
    <n v="5603"/>
    <x v="0"/>
    <n v="0"/>
    <n v="0"/>
    <n v="24"/>
    <n v="26"/>
    <n v="0"/>
    <n v="556.84"/>
    <n v="131.87"/>
    <m/>
    <n v="670.0842907267272"/>
    <n v="116.42847759142431"/>
    <n v="0"/>
    <n v="524900.7712800001"/>
    <n v="124306.20054000001"/>
    <n v="0"/>
    <n v="631649.59597922361"/>
    <n v="109750.3729737354"/>
  </r>
  <r>
    <s v="Refaturamento - Regular"/>
    <x v="1"/>
    <x v="2"/>
    <x v="2"/>
    <x v="1"/>
    <x v="0"/>
    <x v="0"/>
    <x v="1"/>
    <x v="9"/>
    <n v="0"/>
    <n v="0"/>
    <n v="-0.222"/>
    <n v="-0.222"/>
    <n v="-0.222"/>
    <n v="-0.222"/>
    <n v="0"/>
    <x v="0"/>
    <n v="0"/>
    <n v="0"/>
    <n v="24"/>
    <n v="26"/>
    <n v="0"/>
    <n v="556.84"/>
    <n v="131.87"/>
    <m/>
    <n v="670.0842907267272"/>
    <n v="116.42847759142431"/>
    <n v="0"/>
    <n v="-123.61848000000001"/>
    <n v="-29.27514"/>
    <n v="0"/>
    <n v="-148.75871254133344"/>
    <n v="-25.847122025296198"/>
  </r>
  <r>
    <s v="Sistema de Compensação"/>
    <x v="1"/>
    <x v="2"/>
    <x v="2"/>
    <x v="1"/>
    <x v="0"/>
    <x v="0"/>
    <x v="1"/>
    <x v="9"/>
    <n v="0"/>
    <n v="0"/>
    <n v="1.571"/>
    <n v="1.571"/>
    <n v="1.571"/>
    <n v="1.571"/>
    <n v="18"/>
    <x v="0"/>
    <n v="0"/>
    <n v="0"/>
    <n v="24"/>
    <n v="26"/>
    <n v="0"/>
    <n v="556.84"/>
    <n v="131.87"/>
    <m/>
    <n v="670.0842907267272"/>
    <n v="116.42847759142431"/>
    <n v="0"/>
    <n v="874.79564000000005"/>
    <n v="207.16776999999999"/>
    <n v="0"/>
    <n v="1052.7024207316883"/>
    <n v="182.90913829612759"/>
  </r>
  <r>
    <s v="Regular"/>
    <x v="1"/>
    <x v="2"/>
    <x v="2"/>
    <x v="1"/>
    <x v="0"/>
    <x v="0"/>
    <x v="1"/>
    <x v="10"/>
    <n v="0"/>
    <n v="0"/>
    <n v="863.79399999999998"/>
    <n v="863.79399999999998"/>
    <n v="863.79399999999998"/>
    <n v="863.79399999999998"/>
    <n v="5564"/>
    <x v="0"/>
    <n v="0"/>
    <n v="0"/>
    <n v="24"/>
    <n v="26"/>
    <n v="0"/>
    <n v="556.84"/>
    <n v="131.87"/>
    <m/>
    <n v="670.0842907267272"/>
    <n v="116.42847759142431"/>
    <n v="0"/>
    <n v="480995.05096000002"/>
    <n v="113908.51478"/>
    <n v="0"/>
    <n v="578814.78982400254"/>
    <n v="100570.22037260677"/>
  </r>
  <r>
    <s v="Refaturamento - Regular"/>
    <x v="1"/>
    <x v="2"/>
    <x v="2"/>
    <x v="1"/>
    <x v="0"/>
    <x v="0"/>
    <x v="1"/>
    <x v="10"/>
    <n v="0"/>
    <n v="0"/>
    <n v="2.9000000000000001E-2"/>
    <n v="2.9000000000000001E-2"/>
    <n v="2.9000000000000001E-2"/>
    <n v="2.9000000000000001E-2"/>
    <n v="0"/>
    <x v="0"/>
    <n v="0"/>
    <n v="0"/>
    <n v="24"/>
    <n v="26"/>
    <n v="0"/>
    <n v="556.84"/>
    <n v="131.87"/>
    <m/>
    <n v="670.0842907267272"/>
    <n v="116.42847759142431"/>
    <n v="0"/>
    <n v="16.14836"/>
    <n v="3.8242300000000005"/>
    <n v="0"/>
    <n v="19.432444431075091"/>
    <n v="3.3764258501513051"/>
  </r>
  <r>
    <s v="Sistema de Compensação"/>
    <x v="1"/>
    <x v="2"/>
    <x v="2"/>
    <x v="1"/>
    <x v="0"/>
    <x v="0"/>
    <x v="1"/>
    <x v="10"/>
    <n v="0"/>
    <n v="0"/>
    <n v="2.11"/>
    <n v="2.11"/>
    <n v="2.11"/>
    <n v="2.11"/>
    <n v="20"/>
    <x v="0"/>
    <n v="0"/>
    <n v="0"/>
    <n v="24"/>
    <n v="26"/>
    <n v="0"/>
    <n v="556.84"/>
    <n v="131.87"/>
    <m/>
    <n v="670.0842907267272"/>
    <n v="116.42847759142431"/>
    <n v="0"/>
    <n v="1174.9323999999999"/>
    <n v="278.2457"/>
    <n v="0"/>
    <n v="1413.8778534333944"/>
    <n v="245.66408771790529"/>
  </r>
  <r>
    <s v="Regular"/>
    <x v="1"/>
    <x v="2"/>
    <x v="2"/>
    <x v="1"/>
    <x v="0"/>
    <x v="0"/>
    <x v="1"/>
    <x v="11"/>
    <n v="0"/>
    <n v="0"/>
    <n v="920.95500000000004"/>
    <n v="920.95500000000004"/>
    <n v="920.95500000000004"/>
    <n v="920.95500000000004"/>
    <n v="5563"/>
    <x v="0"/>
    <n v="0"/>
    <n v="0"/>
    <n v="24"/>
    <n v="26"/>
    <n v="0"/>
    <n v="556.84"/>
    <n v="131.87"/>
    <m/>
    <n v="670.0842907267272"/>
    <n v="116.42847759142431"/>
    <n v="0"/>
    <n v="512824.58220000006"/>
    <n v="121446.33585"/>
    <n v="0"/>
    <n v="617117.47796623304"/>
    <n v="107225.38858021019"/>
  </r>
  <r>
    <s v="Sistema de Compensação"/>
    <x v="1"/>
    <x v="2"/>
    <x v="2"/>
    <x v="1"/>
    <x v="0"/>
    <x v="0"/>
    <x v="1"/>
    <x v="11"/>
    <n v="0"/>
    <n v="0"/>
    <n v="2.2930000000000001"/>
    <n v="2.2930000000000001"/>
    <n v="2.2930000000000001"/>
    <n v="2.2930000000000001"/>
    <n v="20"/>
    <x v="0"/>
    <n v="0"/>
    <n v="0"/>
    <n v="24"/>
    <n v="26"/>
    <n v="0"/>
    <n v="556.84"/>
    <n v="131.87"/>
    <m/>
    <n v="670.0842907267272"/>
    <n v="116.42847759142431"/>
    <n v="0"/>
    <n v="1276.8341200000002"/>
    <n v="302.37791000000004"/>
    <n v="0"/>
    <n v="1536.5032786363856"/>
    <n v="266.97049911713594"/>
  </r>
  <r>
    <s v="Regular"/>
    <x v="1"/>
    <x v="2"/>
    <x v="2"/>
    <x v="2"/>
    <x v="0"/>
    <x v="0"/>
    <x v="1"/>
    <x v="0"/>
    <n v="0"/>
    <n v="0"/>
    <n v="3.75"/>
    <n v="3.75"/>
    <n v="3.75"/>
    <n v="3.75"/>
    <n v="3"/>
    <x v="0"/>
    <n v="0"/>
    <n v="0"/>
    <n v="2"/>
    <n v="72"/>
    <n v="0"/>
    <n v="170.76"/>
    <n v="46.15"/>
    <m/>
    <n v="197.19556189181066"/>
    <n v="40.749967156998508"/>
    <n v="0"/>
    <n v="640.34999999999991"/>
    <n v="173.0625"/>
    <n v="0"/>
    <n v="739.48335709429"/>
    <n v="152.8123768387444"/>
  </r>
  <r>
    <s v="Regular"/>
    <x v="1"/>
    <x v="2"/>
    <x v="2"/>
    <x v="2"/>
    <x v="0"/>
    <x v="0"/>
    <x v="1"/>
    <x v="1"/>
    <n v="0"/>
    <n v="0"/>
    <n v="3.9"/>
    <n v="3.9"/>
    <n v="3.9"/>
    <n v="3.9"/>
    <n v="1"/>
    <x v="0"/>
    <n v="0"/>
    <n v="0"/>
    <n v="2"/>
    <n v="72"/>
    <n v="0"/>
    <n v="170.76"/>
    <n v="46.15"/>
    <m/>
    <n v="197.19556189181066"/>
    <n v="40.749967156998508"/>
    <n v="0"/>
    <n v="665.96399999999994"/>
    <n v="179.98499999999999"/>
    <n v="0"/>
    <n v="769.06269137806157"/>
    <n v="158.92487191229418"/>
  </r>
  <r>
    <s v="Regular"/>
    <x v="1"/>
    <x v="2"/>
    <x v="2"/>
    <x v="2"/>
    <x v="0"/>
    <x v="0"/>
    <x v="1"/>
    <x v="2"/>
    <n v="0"/>
    <n v="0"/>
    <n v="3.78"/>
    <n v="3.78"/>
    <n v="3.78"/>
    <n v="3.78"/>
    <n v="0"/>
    <x v="0"/>
    <n v="0"/>
    <n v="0"/>
    <n v="2"/>
    <n v="72"/>
    <n v="0"/>
    <n v="170.76"/>
    <n v="46.15"/>
    <m/>
    <n v="197.19556189181066"/>
    <n v="40.749967156998508"/>
    <n v="0"/>
    <n v="645.47279999999989"/>
    <n v="174.44699999999997"/>
    <n v="0"/>
    <n v="745.39922395104429"/>
    <n v="154.03487585345437"/>
  </r>
  <r>
    <s v="Regular"/>
    <x v="1"/>
    <x v="2"/>
    <x v="2"/>
    <x v="2"/>
    <x v="0"/>
    <x v="0"/>
    <x v="1"/>
    <x v="3"/>
    <n v="0"/>
    <n v="0"/>
    <n v="4.0199999999999996"/>
    <n v="4.0199999999999996"/>
    <n v="4.0199999999999996"/>
    <n v="4.0199999999999996"/>
    <n v="3"/>
    <x v="0"/>
    <n v="0"/>
    <n v="0"/>
    <n v="2"/>
    <n v="72"/>
    <n v="0"/>
    <n v="170.76"/>
    <n v="46.15"/>
    <m/>
    <n v="197.19556189181066"/>
    <n v="40.749967156998508"/>
    <n v="0"/>
    <n v="686.45519999999988"/>
    <n v="185.52299999999997"/>
    <n v="0"/>
    <n v="792.72615880507874"/>
    <n v="163.81486797113399"/>
  </r>
  <r>
    <s v="Regular"/>
    <x v="1"/>
    <x v="2"/>
    <x v="2"/>
    <x v="2"/>
    <x v="0"/>
    <x v="0"/>
    <x v="1"/>
    <x v="4"/>
    <n v="0"/>
    <n v="0"/>
    <n v="4.41"/>
    <n v="4.41"/>
    <n v="4.41"/>
    <n v="4.41"/>
    <n v="2"/>
    <x v="0"/>
    <n v="0"/>
    <n v="0"/>
    <n v="2"/>
    <n v="72"/>
    <n v="0"/>
    <n v="170.76"/>
    <n v="46.15"/>
    <m/>
    <n v="197.19556189181066"/>
    <n v="40.749967156998508"/>
    <n v="0"/>
    <n v="753.05160000000001"/>
    <n v="203.5215"/>
    <n v="0"/>
    <n v="869.63242794288499"/>
    <n v="179.70735516236343"/>
  </r>
  <r>
    <s v="Regular"/>
    <x v="1"/>
    <x v="2"/>
    <x v="2"/>
    <x v="2"/>
    <x v="0"/>
    <x v="0"/>
    <x v="1"/>
    <x v="5"/>
    <n v="0"/>
    <n v="0"/>
    <n v="4.53"/>
    <n v="4.53"/>
    <n v="4.53"/>
    <n v="4.53"/>
    <n v="2"/>
    <x v="0"/>
    <n v="0"/>
    <n v="0"/>
    <n v="2"/>
    <n v="72"/>
    <n v="0"/>
    <n v="170.76"/>
    <n v="46.15"/>
    <m/>
    <n v="197.19556189181066"/>
    <n v="40.749967156998508"/>
    <n v="0"/>
    <n v="773.54280000000006"/>
    <n v="209.05950000000001"/>
    <n v="0"/>
    <n v="893.29589536990227"/>
    <n v="184.59735122120324"/>
  </r>
  <r>
    <s v="Regular"/>
    <x v="1"/>
    <x v="2"/>
    <x v="2"/>
    <x v="2"/>
    <x v="0"/>
    <x v="0"/>
    <x v="1"/>
    <x v="6"/>
    <n v="0"/>
    <n v="0"/>
    <n v="4.68"/>
    <n v="4.68"/>
    <n v="4.68"/>
    <n v="4.68"/>
    <n v="0"/>
    <x v="0"/>
    <n v="0"/>
    <n v="0"/>
    <n v="2"/>
    <n v="72"/>
    <n v="0"/>
    <n v="170.76"/>
    <n v="46.15"/>
    <m/>
    <n v="197.19556189181066"/>
    <n v="40.749967156998508"/>
    <n v="0"/>
    <n v="799.15679999999986"/>
    <n v="215.98199999999997"/>
    <n v="0"/>
    <n v="922.87522965367384"/>
    <n v="190.70984629475302"/>
  </r>
  <r>
    <s v="Regular"/>
    <x v="1"/>
    <x v="2"/>
    <x v="2"/>
    <x v="2"/>
    <x v="0"/>
    <x v="0"/>
    <x v="1"/>
    <x v="7"/>
    <n v="0"/>
    <n v="0"/>
    <n v="6.87"/>
    <n v="6.87"/>
    <n v="6.87"/>
    <n v="6.87"/>
    <n v="9"/>
    <x v="0"/>
    <n v="0"/>
    <n v="0"/>
    <n v="2"/>
    <n v="72"/>
    <n v="0"/>
    <n v="170.76"/>
    <n v="46.15"/>
    <m/>
    <n v="197.19556189181066"/>
    <n v="40.749967156998508"/>
    <n v="0"/>
    <n v="1173.1212"/>
    <n v="317.0505"/>
    <n v="0"/>
    <n v="1354.7335101967392"/>
    <n v="279.95227436857976"/>
  </r>
  <r>
    <s v="Regular"/>
    <x v="1"/>
    <x v="2"/>
    <x v="2"/>
    <x v="2"/>
    <x v="0"/>
    <x v="0"/>
    <x v="1"/>
    <x v="8"/>
    <n v="0"/>
    <n v="0"/>
    <n v="13.53"/>
    <n v="13.53"/>
    <n v="13.53"/>
    <n v="13.53"/>
    <n v="34"/>
    <x v="0"/>
    <n v="0"/>
    <n v="0"/>
    <n v="2"/>
    <n v="72"/>
    <n v="0"/>
    <n v="170.76"/>
    <n v="46.15"/>
    <m/>
    <n v="197.19556189181066"/>
    <n v="40.749967156998508"/>
    <n v="0"/>
    <n v="2310.3827999999999"/>
    <n v="624.40949999999998"/>
    <n v="0"/>
    <n v="2668.0559523961979"/>
    <n v="551.34705563418981"/>
  </r>
  <r>
    <s v="Regular"/>
    <x v="1"/>
    <x v="2"/>
    <x v="2"/>
    <x v="2"/>
    <x v="0"/>
    <x v="0"/>
    <x v="1"/>
    <x v="9"/>
    <n v="0"/>
    <n v="0"/>
    <n v="19.29"/>
    <n v="19.29"/>
    <n v="19.29"/>
    <n v="19.29"/>
    <n v="56"/>
    <x v="0"/>
    <n v="0"/>
    <n v="0"/>
    <n v="2"/>
    <n v="72"/>
    <n v="0"/>
    <n v="170.76"/>
    <n v="46.15"/>
    <m/>
    <n v="197.19556189181066"/>
    <n v="40.749967156998508"/>
    <n v="0"/>
    <n v="3293.9603999999995"/>
    <n v="890.23349999999994"/>
    <n v="0"/>
    <n v="3803.9023888930274"/>
    <n v="786.06686645850118"/>
  </r>
  <r>
    <s v="Regular"/>
    <x v="1"/>
    <x v="2"/>
    <x v="2"/>
    <x v="2"/>
    <x v="0"/>
    <x v="0"/>
    <x v="1"/>
    <x v="10"/>
    <n v="0"/>
    <n v="0"/>
    <n v="20.91"/>
    <n v="20.91"/>
    <n v="20.91"/>
    <n v="20.91"/>
    <n v="69"/>
    <x v="0"/>
    <n v="0"/>
    <n v="0"/>
    <n v="2"/>
    <n v="72"/>
    <n v="0"/>
    <n v="170.76"/>
    <n v="46.15"/>
    <m/>
    <n v="197.19556189181066"/>
    <n v="40.749967156998508"/>
    <n v="0"/>
    <n v="3570.5915999999997"/>
    <n v="964.99649999999997"/>
    <n v="0"/>
    <n v="4123.3591991577605"/>
    <n v="852.08181325283886"/>
  </r>
  <r>
    <s v="Regular"/>
    <x v="1"/>
    <x v="2"/>
    <x v="2"/>
    <x v="2"/>
    <x v="0"/>
    <x v="0"/>
    <x v="1"/>
    <x v="11"/>
    <n v="0"/>
    <n v="0"/>
    <n v="21.87"/>
    <n v="21.87"/>
    <n v="21.87"/>
    <n v="21.87"/>
    <n v="71"/>
    <x v="0"/>
    <n v="0"/>
    <n v="0"/>
    <n v="2"/>
    <n v="72"/>
    <n v="0"/>
    <n v="170.76"/>
    <n v="46.15"/>
    <m/>
    <n v="197.19556189181066"/>
    <n v="40.749967156998508"/>
    <n v="0"/>
    <n v="3734.5212000000001"/>
    <n v="1009.3005000000001"/>
    <n v="0"/>
    <n v="4312.6669385738996"/>
    <n v="891.20178172355736"/>
  </r>
  <r>
    <s v="Regular"/>
    <x v="1"/>
    <x v="2"/>
    <x v="2"/>
    <x v="3"/>
    <x v="0"/>
    <x v="0"/>
    <x v="1"/>
    <x v="0"/>
    <n v="0"/>
    <n v="0"/>
    <n v="8.2100000000000009"/>
    <n v="8.2100000000000009"/>
    <n v="8.2100000000000009"/>
    <n v="8.2100000000000009"/>
    <n v="13"/>
    <x v="0"/>
    <n v="0"/>
    <n v="0"/>
    <n v="13"/>
    <n v="69"/>
    <n v="0"/>
    <n v="292.74"/>
    <n v="79.12"/>
    <m/>
    <n v="338.04953467167542"/>
    <n v="69.85708655485459"/>
    <n v="0"/>
    <n v="2403.3954000000003"/>
    <n v="649.57520000000011"/>
    <n v="0"/>
    <n v="2775.3866796544553"/>
    <n v="573.52668061535621"/>
  </r>
  <r>
    <s v="Regular"/>
    <x v="1"/>
    <x v="2"/>
    <x v="2"/>
    <x v="3"/>
    <x v="0"/>
    <x v="0"/>
    <x v="1"/>
    <x v="1"/>
    <n v="0"/>
    <n v="0"/>
    <n v="8.6159999999999997"/>
    <n v="8.6159999999999997"/>
    <n v="8.6159999999999997"/>
    <n v="8.6159999999999997"/>
    <n v="13"/>
    <x v="0"/>
    <n v="0"/>
    <n v="0"/>
    <n v="13"/>
    <n v="69"/>
    <n v="0"/>
    <n v="292.74"/>
    <n v="79.12"/>
    <m/>
    <n v="338.04953467167542"/>
    <n v="69.85708655485459"/>
    <n v="0"/>
    <n v="2522.24784"/>
    <n v="681.69792000000007"/>
    <n v="0"/>
    <n v="2912.6347907311551"/>
    <n v="601.88865775662714"/>
  </r>
  <r>
    <s v="Regular"/>
    <x v="1"/>
    <x v="2"/>
    <x v="2"/>
    <x v="3"/>
    <x v="0"/>
    <x v="0"/>
    <x v="1"/>
    <x v="2"/>
    <n v="0"/>
    <n v="0"/>
    <n v="8.3450000000000006"/>
    <n v="8.3450000000000006"/>
    <n v="8.3450000000000006"/>
    <n v="8.3450000000000006"/>
    <n v="15"/>
    <x v="0"/>
    <n v="0"/>
    <n v="0"/>
    <n v="13"/>
    <n v="69"/>
    <n v="0"/>
    <n v="292.74"/>
    <n v="79.12"/>
    <m/>
    <n v="338.04953467167542"/>
    <n v="69.85708655485459"/>
    <n v="0"/>
    <n v="2442.9153000000001"/>
    <n v="660.2564000000001"/>
    <n v="0"/>
    <n v="2821.0233668351316"/>
    <n v="582.95738730026164"/>
  </r>
  <r>
    <s v="Regular"/>
    <x v="1"/>
    <x v="2"/>
    <x v="2"/>
    <x v="3"/>
    <x v="0"/>
    <x v="0"/>
    <x v="1"/>
    <x v="3"/>
    <n v="0"/>
    <n v="0"/>
    <n v="8.9440000000000008"/>
    <n v="8.9440000000000008"/>
    <n v="8.9440000000000008"/>
    <n v="8.9440000000000008"/>
    <n v="10"/>
    <x v="0"/>
    <n v="0"/>
    <n v="0"/>
    <n v="13"/>
    <n v="69"/>
    <n v="0"/>
    <n v="292.74"/>
    <n v="79.12"/>
    <m/>
    <n v="338.04953467167542"/>
    <n v="69.85708655485459"/>
    <n v="0"/>
    <n v="2618.2665600000005"/>
    <n v="707.64928000000009"/>
    <n v="0"/>
    <n v="3023.515038103465"/>
    <n v="624.80178214661953"/>
  </r>
  <r>
    <s v="Regular"/>
    <x v="1"/>
    <x v="2"/>
    <x v="2"/>
    <x v="3"/>
    <x v="0"/>
    <x v="0"/>
    <x v="1"/>
    <x v="4"/>
    <n v="0"/>
    <n v="0"/>
    <n v="9.7840000000000007"/>
    <n v="9.7840000000000007"/>
    <n v="9.7840000000000007"/>
    <n v="9.7840000000000007"/>
    <n v="15"/>
    <x v="0"/>
    <n v="0"/>
    <n v="0"/>
    <n v="13"/>
    <n v="69"/>
    <n v="0"/>
    <n v="292.74"/>
    <n v="79.12"/>
    <m/>
    <n v="338.04953467167542"/>
    <n v="69.85708655485459"/>
    <n v="0"/>
    <n v="2864.1681600000002"/>
    <n v="774.11008000000015"/>
    <n v="0"/>
    <n v="3307.4766472276724"/>
    <n v="683.4817348526974"/>
  </r>
  <r>
    <s v="Regular"/>
    <x v="1"/>
    <x v="2"/>
    <x v="2"/>
    <x v="3"/>
    <x v="0"/>
    <x v="0"/>
    <x v="1"/>
    <x v="5"/>
    <n v="0"/>
    <n v="0"/>
    <n v="10.077999999999999"/>
    <n v="10.077999999999999"/>
    <n v="10.077999999999999"/>
    <n v="10.077999999999999"/>
    <n v="14"/>
    <x v="0"/>
    <n v="0"/>
    <n v="0"/>
    <n v="13"/>
    <n v="69"/>
    <n v="0"/>
    <n v="292.74"/>
    <n v="79.12"/>
    <m/>
    <n v="338.04953467167542"/>
    <n v="69.85708655485459"/>
    <n v="0"/>
    <n v="2950.2337199999997"/>
    <n v="797.37135999999998"/>
    <n v="0"/>
    <n v="3406.8632104211447"/>
    <n v="704.01971829982449"/>
  </r>
  <r>
    <s v="Regular"/>
    <x v="1"/>
    <x v="2"/>
    <x v="2"/>
    <x v="3"/>
    <x v="0"/>
    <x v="0"/>
    <x v="1"/>
    <x v="6"/>
    <n v="0"/>
    <n v="0"/>
    <n v="10.484999999999999"/>
    <n v="10.484999999999999"/>
    <n v="10.484999999999999"/>
    <n v="10.484999999999999"/>
    <n v="19"/>
    <x v="0"/>
    <n v="0"/>
    <n v="0"/>
    <n v="13"/>
    <n v="69"/>
    <n v="0"/>
    <n v="292.74"/>
    <n v="79.12"/>
    <m/>
    <n v="338.04953467167542"/>
    <n v="69.85708655485459"/>
    <n v="0"/>
    <n v="3069.3788999999997"/>
    <n v="829.57320000000004"/>
    <n v="0"/>
    <n v="3544.4493710325164"/>
    <n v="732.45155252765028"/>
  </r>
  <r>
    <s v="Regular"/>
    <x v="1"/>
    <x v="2"/>
    <x v="2"/>
    <x v="3"/>
    <x v="0"/>
    <x v="0"/>
    <x v="1"/>
    <x v="7"/>
    <n v="0"/>
    <n v="0"/>
    <n v="14.499000000000001"/>
    <n v="14.499000000000001"/>
    <n v="14.499000000000001"/>
    <n v="14.499000000000001"/>
    <n v="35"/>
    <x v="0"/>
    <n v="0"/>
    <n v="0"/>
    <n v="13"/>
    <n v="69"/>
    <n v="0"/>
    <n v="292.74"/>
    <n v="79.12"/>
    <m/>
    <n v="338.04953467167542"/>
    <n v="69.85708655485459"/>
    <n v="0"/>
    <n v="4244.4372600000006"/>
    <n v="1147.1608800000001"/>
    <n v="0"/>
    <n v="4901.3802032046224"/>
    <n v="1012.8578979588367"/>
  </r>
  <r>
    <s v="Regular"/>
    <x v="1"/>
    <x v="2"/>
    <x v="2"/>
    <x v="3"/>
    <x v="0"/>
    <x v="0"/>
    <x v="1"/>
    <x v="8"/>
    <n v="0"/>
    <n v="0"/>
    <n v="26.244"/>
    <n v="26.244"/>
    <n v="26.244"/>
    <n v="26.244"/>
    <n v="109"/>
    <x v="0"/>
    <n v="0"/>
    <n v="0"/>
    <n v="13"/>
    <n v="69"/>
    <n v="0"/>
    <n v="292.74"/>
    <n v="79.12"/>
    <m/>
    <n v="338.04953467167542"/>
    <n v="69.85708655485459"/>
    <n v="0"/>
    <n v="7682.6685600000001"/>
    <n v="2076.4252799999999"/>
    <n v="0"/>
    <n v="8871.7719879234501"/>
    <n v="1833.3293795456038"/>
  </r>
  <r>
    <s v="Regular"/>
    <x v="1"/>
    <x v="2"/>
    <x v="2"/>
    <x v="3"/>
    <x v="0"/>
    <x v="0"/>
    <x v="1"/>
    <x v="9"/>
    <n v="0"/>
    <n v="0"/>
    <n v="36.750999999999998"/>
    <n v="36.750999999999998"/>
    <n v="36.750999999999998"/>
    <n v="36.750999999999998"/>
    <n v="150"/>
    <x v="0"/>
    <n v="0"/>
    <n v="0"/>
    <n v="13"/>
    <n v="69"/>
    <n v="0"/>
    <n v="292.74"/>
    <n v="79.12"/>
    <m/>
    <n v="338.04953467167542"/>
    <n v="69.85708655485459"/>
    <n v="0"/>
    <n v="10758.48774"/>
    <n v="2907.7391200000002"/>
    <n v="0"/>
    <n v="12423.658448718743"/>
    <n v="2567.3177879774607"/>
  </r>
  <r>
    <s v="Regular"/>
    <x v="1"/>
    <x v="2"/>
    <x v="2"/>
    <x v="3"/>
    <x v="0"/>
    <x v="0"/>
    <x v="1"/>
    <x v="10"/>
    <n v="0"/>
    <n v="0"/>
    <n v="38.4"/>
    <n v="38.4"/>
    <n v="38.4"/>
    <n v="38.4"/>
    <n v="175"/>
    <x v="0"/>
    <n v="0"/>
    <n v="0"/>
    <n v="13"/>
    <n v="69"/>
    <n v="0"/>
    <n v="292.74"/>
    <n v="79.12"/>
    <m/>
    <n v="338.04953467167542"/>
    <n v="69.85708655485459"/>
    <n v="0"/>
    <n v="11241.216"/>
    <n v="3038.2080000000001"/>
    <n v="0"/>
    <n v="12981.102131392336"/>
    <n v="2682.5121237064163"/>
  </r>
  <r>
    <s v="Regular"/>
    <x v="1"/>
    <x v="2"/>
    <x v="2"/>
    <x v="3"/>
    <x v="0"/>
    <x v="0"/>
    <x v="1"/>
    <x v="11"/>
    <n v="0"/>
    <n v="0"/>
    <n v="40.319000000000003"/>
    <n v="40.319000000000003"/>
    <n v="40.319000000000003"/>
    <n v="40.319000000000003"/>
    <n v="180"/>
    <x v="0"/>
    <n v="0"/>
    <n v="0"/>
    <n v="13"/>
    <n v="69"/>
    <n v="0"/>
    <n v="292.74"/>
    <n v="79.12"/>
    <m/>
    <n v="338.04953467167542"/>
    <n v="69.85708655485459"/>
    <n v="0"/>
    <n v="11802.984060000001"/>
    <n v="3190.0392800000004"/>
    <n v="0"/>
    <n v="13629.819188427282"/>
    <n v="2816.5678728051826"/>
  </r>
  <r>
    <s v="Regular"/>
    <x v="1"/>
    <x v="2"/>
    <x v="2"/>
    <x v="4"/>
    <x v="0"/>
    <x v="0"/>
    <x v="1"/>
    <x v="0"/>
    <n v="0"/>
    <n v="0"/>
    <n v="8.4429999999999996"/>
    <n v="8.4429999999999996"/>
    <n v="8.4429999999999996"/>
    <n v="8.4429999999999996"/>
    <n v="70"/>
    <x v="0"/>
    <n v="0"/>
    <n v="0"/>
    <n v="4"/>
    <n v="60"/>
    <n v="0"/>
    <n v="439.1"/>
    <n v="118.68"/>
    <m/>
    <n v="507.07430200751315"/>
    <n v="104.78562983228188"/>
    <n v="0"/>
    <n v="3707.3213000000001"/>
    <n v="1002.0152400000001"/>
    <n v="0"/>
    <n v="4281.2283318494337"/>
    <n v="884.7050726739559"/>
  </r>
  <r>
    <s v="Regular"/>
    <x v="1"/>
    <x v="2"/>
    <x v="2"/>
    <x v="4"/>
    <x v="0"/>
    <x v="0"/>
    <x v="1"/>
    <x v="1"/>
    <n v="0"/>
    <n v="0"/>
    <n v="9.3889999999999993"/>
    <n v="9.3889999999999993"/>
    <n v="9.3889999999999993"/>
    <n v="9.3889999999999993"/>
    <n v="72"/>
    <x v="0"/>
    <n v="0"/>
    <n v="0"/>
    <n v="4"/>
    <n v="60"/>
    <n v="0"/>
    <n v="439.1"/>
    <n v="118.68"/>
    <m/>
    <n v="507.07430200751315"/>
    <n v="104.78562983228188"/>
    <n v="0"/>
    <n v="4122.7098999999998"/>
    <n v="1114.2865199999999"/>
    <n v="0"/>
    <n v="4760.920621548541"/>
    <n v="983.83227849529453"/>
  </r>
  <r>
    <s v="Regular"/>
    <x v="1"/>
    <x v="2"/>
    <x v="2"/>
    <x v="4"/>
    <x v="0"/>
    <x v="0"/>
    <x v="1"/>
    <x v="2"/>
    <n v="0"/>
    <n v="0"/>
    <n v="8.8919999999999995"/>
    <n v="8.8919999999999995"/>
    <n v="8.8919999999999995"/>
    <n v="8.8919999999999995"/>
    <n v="70"/>
    <x v="0"/>
    <n v="0"/>
    <n v="0"/>
    <n v="4"/>
    <n v="60"/>
    <n v="0"/>
    <n v="439.1"/>
    <n v="118.68"/>
    <m/>
    <n v="507.07430200751315"/>
    <n v="104.78562983228188"/>
    <n v="0"/>
    <n v="3904.4771999999998"/>
    <n v="1055.3025600000001"/>
    <n v="0"/>
    <n v="4508.9046934508069"/>
    <n v="931.75382046865047"/>
  </r>
  <r>
    <s v="Regular"/>
    <x v="1"/>
    <x v="2"/>
    <x v="2"/>
    <x v="4"/>
    <x v="0"/>
    <x v="0"/>
    <x v="1"/>
    <x v="3"/>
    <n v="0"/>
    <n v="0"/>
    <n v="10.034000000000001"/>
    <n v="10.034000000000001"/>
    <n v="10.034000000000001"/>
    <n v="10.034000000000001"/>
    <n v="78"/>
    <x v="0"/>
    <n v="0"/>
    <n v="0"/>
    <n v="4"/>
    <n v="60"/>
    <n v="0"/>
    <n v="439.1"/>
    <n v="118.68"/>
    <m/>
    <n v="507.07430200751315"/>
    <n v="104.78562983228188"/>
    <n v="0"/>
    <n v="4405.9294000000009"/>
    <n v="1190.8351200000002"/>
    <n v="0"/>
    <n v="5087.9835463433874"/>
    <n v="1051.4190097371165"/>
  </r>
  <r>
    <s v="Regular"/>
    <x v="1"/>
    <x v="2"/>
    <x v="2"/>
    <x v="4"/>
    <x v="0"/>
    <x v="0"/>
    <x v="1"/>
    <x v="4"/>
    <n v="0"/>
    <n v="0"/>
    <n v="10.375999999999999"/>
    <n v="10.375999999999999"/>
    <n v="10.375999999999999"/>
    <n v="10.375999999999999"/>
    <n v="88"/>
    <x v="0"/>
    <n v="0"/>
    <n v="0"/>
    <n v="4"/>
    <n v="60"/>
    <n v="0"/>
    <n v="439.1"/>
    <n v="118.68"/>
    <m/>
    <n v="507.07430200751315"/>
    <n v="104.78562983228188"/>
    <n v="0"/>
    <n v="4556.1016"/>
    <n v="1231.4236800000001"/>
    <n v="0"/>
    <n v="5261.4029576299563"/>
    <n v="1087.2556951397569"/>
  </r>
  <r>
    <s v="Regular"/>
    <x v="1"/>
    <x v="2"/>
    <x v="2"/>
    <x v="4"/>
    <x v="0"/>
    <x v="0"/>
    <x v="1"/>
    <x v="5"/>
    <n v="0"/>
    <n v="0"/>
    <n v="9.7309999999999999"/>
    <n v="9.7309999999999999"/>
    <n v="9.7309999999999999"/>
    <n v="9.7309999999999999"/>
    <n v="105"/>
    <x v="0"/>
    <n v="0"/>
    <n v="0"/>
    <n v="4"/>
    <n v="60"/>
    <n v="0"/>
    <n v="439.1"/>
    <n v="118.68"/>
    <m/>
    <n v="507.07430200751315"/>
    <n v="104.78562983228188"/>
    <n v="0"/>
    <n v="4272.8820999999998"/>
    <n v="1154.87508"/>
    <n v="0"/>
    <n v="4934.3400328351108"/>
    <n v="1019.668963897935"/>
  </r>
  <r>
    <s v="Regular"/>
    <x v="1"/>
    <x v="2"/>
    <x v="2"/>
    <x v="4"/>
    <x v="0"/>
    <x v="0"/>
    <x v="1"/>
    <x v="6"/>
    <n v="0"/>
    <n v="0"/>
    <n v="11.601000000000001"/>
    <n v="11.601000000000001"/>
    <n v="11.601000000000001"/>
    <n v="11.601000000000001"/>
    <n v="86"/>
    <x v="0"/>
    <n v="0"/>
    <n v="0"/>
    <n v="4"/>
    <n v="60"/>
    <n v="0"/>
    <n v="439.1"/>
    <n v="118.68"/>
    <m/>
    <n v="507.07430200751315"/>
    <n v="104.78562983228188"/>
    <n v="0"/>
    <n v="5093.9991000000009"/>
    <n v="1376.8066800000001"/>
    <n v="0"/>
    <n v="5882.5689775891606"/>
    <n v="1215.6180916843023"/>
  </r>
  <r>
    <s v="Refaturamento - Regular"/>
    <x v="1"/>
    <x v="2"/>
    <x v="2"/>
    <x v="4"/>
    <x v="0"/>
    <x v="0"/>
    <x v="1"/>
    <x v="6"/>
    <n v="0"/>
    <n v="0"/>
    <n v="0.02"/>
    <n v="0.02"/>
    <n v="0.02"/>
    <n v="0.02"/>
    <n v="0"/>
    <x v="0"/>
    <n v="0"/>
    <n v="0"/>
    <n v="4"/>
    <n v="60"/>
    <n v="0"/>
    <n v="439.1"/>
    <n v="118.68"/>
    <m/>
    <n v="507.07430200751315"/>
    <n v="104.78562983228188"/>
    <n v="0"/>
    <n v="8.782"/>
    <n v="2.3736000000000002"/>
    <n v="0"/>
    <n v="10.141486040150264"/>
    <n v="2.0957125966456376"/>
  </r>
  <r>
    <s v="Regular"/>
    <x v="1"/>
    <x v="2"/>
    <x v="2"/>
    <x v="4"/>
    <x v="0"/>
    <x v="0"/>
    <x v="1"/>
    <x v="7"/>
    <n v="0"/>
    <n v="0"/>
    <n v="13.962"/>
    <n v="13.962"/>
    <n v="13.962"/>
    <n v="13.962"/>
    <n v="133"/>
    <x v="0"/>
    <n v="0"/>
    <n v="0"/>
    <n v="4"/>
    <n v="60"/>
    <n v="0"/>
    <n v="439.1"/>
    <n v="118.68"/>
    <m/>
    <n v="507.07430200751315"/>
    <n v="104.78562983228188"/>
    <n v="0"/>
    <n v="6130.7142000000003"/>
    <n v="1657.01016"/>
    <n v="0"/>
    <n v="7079.7714046288984"/>
    <n v="1463.0169637183196"/>
  </r>
  <r>
    <s v="Regular"/>
    <x v="1"/>
    <x v="2"/>
    <x v="2"/>
    <x v="4"/>
    <x v="0"/>
    <x v="0"/>
    <x v="1"/>
    <x v="8"/>
    <n v="0"/>
    <n v="0"/>
    <n v="21.436"/>
    <n v="21.436"/>
    <n v="21.436"/>
    <n v="21.436"/>
    <n v="232"/>
    <x v="0"/>
    <n v="0"/>
    <n v="0"/>
    <n v="4"/>
    <n v="60"/>
    <n v="0"/>
    <n v="439.1"/>
    <n v="118.68"/>
    <m/>
    <n v="507.07430200751315"/>
    <n v="104.78562983228188"/>
    <n v="0"/>
    <n v="9412.5475999999999"/>
    <n v="2544.02448"/>
    <n v="0"/>
    <n v="10869.644737833052"/>
    <n v="2246.1847610847944"/>
  </r>
  <r>
    <s v="Regular"/>
    <x v="1"/>
    <x v="2"/>
    <x v="2"/>
    <x v="4"/>
    <x v="0"/>
    <x v="0"/>
    <x v="1"/>
    <x v="9"/>
    <n v="0"/>
    <n v="0"/>
    <n v="33.137999999999998"/>
    <n v="33.137999999999998"/>
    <n v="33.137999999999998"/>
    <n v="33.137999999999998"/>
    <n v="309"/>
    <x v="0"/>
    <n v="0"/>
    <n v="0"/>
    <n v="4"/>
    <n v="60"/>
    <n v="0"/>
    <n v="439.1"/>
    <n v="118.68"/>
    <m/>
    <n v="507.07430200751315"/>
    <n v="104.78562983228188"/>
    <n v="0"/>
    <n v="14550.8958"/>
    <n v="3932.8178400000002"/>
    <n v="0"/>
    <n v="16803.428219924968"/>
    <n v="3472.3862013821567"/>
  </r>
  <r>
    <s v="Regular"/>
    <x v="1"/>
    <x v="2"/>
    <x v="2"/>
    <x v="4"/>
    <x v="0"/>
    <x v="0"/>
    <x v="1"/>
    <x v="10"/>
    <n v="0"/>
    <n v="0"/>
    <n v="32.121000000000002"/>
    <n v="32.121000000000002"/>
    <n v="32.121000000000002"/>
    <n v="32.121000000000002"/>
    <n v="333"/>
    <x v="0"/>
    <n v="0"/>
    <n v="0"/>
    <n v="4"/>
    <n v="60"/>
    <n v="0"/>
    <n v="439.1"/>
    <n v="118.68"/>
    <m/>
    <n v="507.07430200751315"/>
    <n v="104.78562983228188"/>
    <n v="0"/>
    <n v="14104.331100000001"/>
    <n v="3812.1202800000005"/>
    <n v="0"/>
    <n v="16287.733654783331"/>
    <n v="3365.8192158427269"/>
  </r>
  <r>
    <s v="Regular"/>
    <x v="1"/>
    <x v="2"/>
    <x v="2"/>
    <x v="4"/>
    <x v="0"/>
    <x v="0"/>
    <x v="1"/>
    <x v="11"/>
    <n v="0"/>
    <n v="0"/>
    <n v="36.084000000000003"/>
    <n v="36.084000000000003"/>
    <n v="36.084000000000003"/>
    <n v="36.084000000000003"/>
    <n v="329"/>
    <x v="0"/>
    <n v="0"/>
    <n v="0"/>
    <n v="4"/>
    <n v="60"/>
    <n v="0"/>
    <n v="439.1"/>
    <n v="118.68"/>
    <m/>
    <n v="507.07430200751315"/>
    <n v="104.78562983228188"/>
    <n v="0"/>
    <n v="15844.484400000003"/>
    <n v="4282.4491200000002"/>
    <n v="0"/>
    <n v="18297.269113639108"/>
    <n v="3781.0846668680597"/>
  </r>
  <r>
    <s v="Regular"/>
    <x v="1"/>
    <x v="2"/>
    <x v="2"/>
    <x v="5"/>
    <x v="0"/>
    <x v="0"/>
    <x v="1"/>
    <x v="0"/>
    <n v="0"/>
    <n v="0"/>
    <n v="2.835"/>
    <n v="2.835"/>
    <n v="2.835"/>
    <n v="2.835"/>
    <n v="39"/>
    <x v="0"/>
    <n v="0"/>
    <n v="0"/>
    <n v="43"/>
    <n v="66"/>
    <n v="0"/>
    <n v="487.89"/>
    <n v="131.87"/>
    <m/>
    <n v="563.41589111945905"/>
    <n v="116.42847759142431"/>
    <n v="0"/>
    <n v="1383.16815"/>
    <n v="373.85145"/>
    <n v="0"/>
    <n v="1597.2840513236663"/>
    <n v="330.07473397168792"/>
  </r>
  <r>
    <s v="Regular"/>
    <x v="1"/>
    <x v="2"/>
    <x v="2"/>
    <x v="5"/>
    <x v="0"/>
    <x v="0"/>
    <x v="1"/>
    <x v="1"/>
    <n v="0"/>
    <n v="0"/>
    <n v="3.5529999999999999"/>
    <n v="3.5529999999999999"/>
    <n v="3.5529999999999999"/>
    <n v="3.5529999999999999"/>
    <n v="44"/>
    <x v="0"/>
    <n v="0"/>
    <n v="0"/>
    <n v="43"/>
    <n v="66"/>
    <n v="0"/>
    <n v="487.89"/>
    <n v="131.87"/>
    <m/>
    <n v="563.41589111945905"/>
    <n v="116.42847759142431"/>
    <n v="0"/>
    <n v="1733.47317"/>
    <n v="468.53411"/>
    <n v="0"/>
    <n v="2001.816661147438"/>
    <n v="413.67038088233056"/>
  </r>
  <r>
    <s v="Regular"/>
    <x v="1"/>
    <x v="2"/>
    <x v="2"/>
    <x v="5"/>
    <x v="0"/>
    <x v="0"/>
    <x v="1"/>
    <x v="2"/>
    <n v="0"/>
    <n v="0"/>
    <n v="2.9350000000000001"/>
    <n v="2.9350000000000001"/>
    <n v="2.9350000000000001"/>
    <n v="2.9350000000000001"/>
    <n v="41"/>
    <x v="0"/>
    <n v="0"/>
    <n v="0"/>
    <n v="43"/>
    <n v="66"/>
    <n v="0"/>
    <n v="487.89"/>
    <n v="131.87"/>
    <m/>
    <n v="563.41589111945905"/>
    <n v="116.42847759142431"/>
    <n v="0"/>
    <n v="1431.95715"/>
    <n v="387.03845000000001"/>
    <n v="0"/>
    <n v="1653.6256404356122"/>
    <n v="341.71758173083037"/>
  </r>
  <r>
    <s v="Regular"/>
    <x v="1"/>
    <x v="2"/>
    <x v="2"/>
    <x v="5"/>
    <x v="0"/>
    <x v="0"/>
    <x v="1"/>
    <x v="3"/>
    <n v="0"/>
    <n v="0"/>
    <n v="3.6389999999999998"/>
    <n v="3.6389999999999998"/>
    <n v="3.6389999999999998"/>
    <n v="3.6389999999999998"/>
    <n v="43"/>
    <x v="0"/>
    <n v="0"/>
    <n v="0"/>
    <n v="43"/>
    <n v="66"/>
    <n v="0"/>
    <n v="487.89"/>
    <n v="131.87"/>
    <m/>
    <n v="563.41589111945905"/>
    <n v="116.42847759142431"/>
    <n v="0"/>
    <n v="1775.4317099999998"/>
    <n v="479.87493000000001"/>
    <n v="0"/>
    <n v="2050.2704277837115"/>
    <n v="423.68322995519304"/>
  </r>
  <r>
    <s v="Regular"/>
    <x v="1"/>
    <x v="2"/>
    <x v="2"/>
    <x v="5"/>
    <x v="0"/>
    <x v="0"/>
    <x v="1"/>
    <x v="4"/>
    <n v="0"/>
    <n v="0"/>
    <n v="3.077"/>
    <n v="3.077"/>
    <n v="3.077"/>
    <n v="3.077"/>
    <n v="42"/>
    <x v="0"/>
    <n v="0"/>
    <n v="0"/>
    <n v="43"/>
    <n v="66"/>
    <n v="0"/>
    <n v="487.89"/>
    <n v="131.87"/>
    <m/>
    <n v="563.41589111945905"/>
    <n v="116.42847759142431"/>
    <n v="0"/>
    <n v="1501.2375299999999"/>
    <n v="405.76399000000004"/>
    <n v="0"/>
    <n v="1733.6306969745754"/>
    <n v="358.25042554881259"/>
  </r>
  <r>
    <s v="Regular"/>
    <x v="1"/>
    <x v="2"/>
    <x v="2"/>
    <x v="5"/>
    <x v="0"/>
    <x v="0"/>
    <x v="1"/>
    <x v="5"/>
    <n v="0"/>
    <n v="0"/>
    <n v="2.1669999999999998"/>
    <n v="2.1669999999999998"/>
    <n v="2.1669999999999998"/>
    <n v="2.1669999999999998"/>
    <n v="30"/>
    <x v="0"/>
    <n v="0"/>
    <n v="0"/>
    <n v="43"/>
    <n v="66"/>
    <n v="0"/>
    <n v="487.89"/>
    <n v="131.87"/>
    <m/>
    <n v="563.41589111945905"/>
    <n v="116.42847759142431"/>
    <n v="0"/>
    <n v="1057.2576299999998"/>
    <n v="285.76229000000001"/>
    <n v="0"/>
    <n v="1220.9222360558676"/>
    <n v="252.30051094061645"/>
  </r>
  <r>
    <s v="Regular"/>
    <x v="1"/>
    <x v="2"/>
    <x v="2"/>
    <x v="5"/>
    <x v="0"/>
    <x v="0"/>
    <x v="1"/>
    <x v="6"/>
    <n v="0"/>
    <n v="0"/>
    <n v="3.621"/>
    <n v="3.621"/>
    <n v="3.621"/>
    <n v="3.621"/>
    <n v="51"/>
    <x v="0"/>
    <n v="0"/>
    <n v="0"/>
    <n v="43"/>
    <n v="66"/>
    <n v="0"/>
    <n v="487.89"/>
    <n v="131.87"/>
    <m/>
    <n v="563.41589111945905"/>
    <n v="116.42847759142431"/>
    <n v="0"/>
    <n v="1766.64969"/>
    <n v="477.50127000000003"/>
    <n v="0"/>
    <n v="2040.1289417435612"/>
    <n v="421.58751735854742"/>
  </r>
  <r>
    <s v="Refaturamento - Regular"/>
    <x v="1"/>
    <x v="2"/>
    <x v="2"/>
    <x v="5"/>
    <x v="0"/>
    <x v="0"/>
    <x v="1"/>
    <x v="6"/>
    <n v="0"/>
    <n v="0"/>
    <n v="2.9000000000000001E-2"/>
    <n v="2.9000000000000001E-2"/>
    <n v="2.9000000000000001E-2"/>
    <n v="2.9000000000000001E-2"/>
    <n v="0"/>
    <x v="0"/>
    <n v="0"/>
    <n v="0"/>
    <n v="43"/>
    <n v="66"/>
    <n v="0"/>
    <n v="487.89"/>
    <n v="131.87"/>
    <m/>
    <n v="563.41589111945905"/>
    <n v="116.42847759142431"/>
    <n v="0"/>
    <n v="14.148810000000001"/>
    <n v="3.8242300000000005"/>
    <n v="0"/>
    <n v="16.339060842464313"/>
    <n v="3.3764258501513051"/>
  </r>
  <r>
    <s v="Regular"/>
    <x v="1"/>
    <x v="2"/>
    <x v="2"/>
    <x v="5"/>
    <x v="0"/>
    <x v="0"/>
    <x v="1"/>
    <x v="7"/>
    <n v="0"/>
    <n v="0"/>
    <n v="5.1289999999999996"/>
    <n v="5.1289999999999996"/>
    <n v="5.1289999999999996"/>
    <n v="5.1289999999999996"/>
    <n v="52"/>
    <x v="0"/>
    <n v="0"/>
    <n v="0"/>
    <n v="43"/>
    <n v="66"/>
    <n v="0"/>
    <n v="487.89"/>
    <n v="131.87"/>
    <m/>
    <n v="563.41589111945905"/>
    <n v="116.42847759142431"/>
    <n v="0"/>
    <n v="2502.3878099999997"/>
    <n v="676.36122999999998"/>
    <n v="0"/>
    <n v="2889.7601055517052"/>
    <n v="597.16166156641521"/>
  </r>
  <r>
    <s v="Regular"/>
    <x v="1"/>
    <x v="2"/>
    <x v="2"/>
    <x v="5"/>
    <x v="0"/>
    <x v="0"/>
    <x v="1"/>
    <x v="8"/>
    <n v="0"/>
    <n v="0"/>
    <n v="7.258"/>
    <n v="7.258"/>
    <n v="7.258"/>
    <n v="7.258"/>
    <n v="76"/>
    <x v="0"/>
    <n v="0"/>
    <n v="0"/>
    <n v="43"/>
    <n v="66"/>
    <n v="0"/>
    <n v="487.89"/>
    <n v="131.87"/>
    <m/>
    <n v="563.41589111945905"/>
    <n v="116.42847759142431"/>
    <n v="0"/>
    <n v="3541.1056199999998"/>
    <n v="957.11246000000006"/>
    <n v="0"/>
    <n v="4089.2725377450338"/>
    <n v="845.03789035855766"/>
  </r>
  <r>
    <s v="Regular"/>
    <x v="1"/>
    <x v="2"/>
    <x v="2"/>
    <x v="5"/>
    <x v="0"/>
    <x v="0"/>
    <x v="1"/>
    <x v="9"/>
    <n v="0"/>
    <n v="0"/>
    <n v="13.558"/>
    <n v="13.558"/>
    <n v="13.558"/>
    <n v="13.558"/>
    <n v="128"/>
    <x v="0"/>
    <n v="0"/>
    <n v="0"/>
    <n v="43"/>
    <n v="66"/>
    <n v="0"/>
    <n v="487.89"/>
    <n v="131.87"/>
    <m/>
    <n v="563.41589111945905"/>
    <n v="116.42847759142431"/>
    <n v="0"/>
    <n v="6614.8126199999997"/>
    <n v="1787.89346"/>
    <n v="0"/>
    <n v="7638.7926517976257"/>
    <n v="1578.5372991845309"/>
  </r>
  <r>
    <s v="Regular"/>
    <x v="1"/>
    <x v="2"/>
    <x v="2"/>
    <x v="5"/>
    <x v="0"/>
    <x v="0"/>
    <x v="1"/>
    <x v="10"/>
    <n v="0"/>
    <n v="0"/>
    <n v="12.082000000000001"/>
    <n v="12.082000000000001"/>
    <n v="12.082000000000001"/>
    <n v="12.082000000000001"/>
    <n v="120"/>
    <x v="0"/>
    <n v="0"/>
    <n v="0"/>
    <n v="43"/>
    <n v="66"/>
    <n v="0"/>
    <n v="487.89"/>
    <n v="131.87"/>
    <m/>
    <n v="563.41589111945905"/>
    <n v="116.42847759142431"/>
    <n v="0"/>
    <n v="5894.6869800000004"/>
    <n v="1593.2533400000002"/>
    <n v="0"/>
    <n v="6807.1907965053042"/>
    <n v="1406.6888662595886"/>
  </r>
  <r>
    <s v="Regular"/>
    <x v="1"/>
    <x v="2"/>
    <x v="2"/>
    <x v="5"/>
    <x v="0"/>
    <x v="0"/>
    <x v="1"/>
    <x v="11"/>
    <n v="0"/>
    <n v="0"/>
    <n v="15.427"/>
    <n v="15.427"/>
    <n v="15.427"/>
    <n v="15.427"/>
    <n v="149"/>
    <x v="0"/>
    <n v="0"/>
    <n v="0"/>
    <n v="43"/>
    <n v="66"/>
    <n v="0"/>
    <n v="487.89"/>
    <n v="131.87"/>
    <m/>
    <n v="563.41589111945905"/>
    <n v="116.42847759142431"/>
    <n v="0"/>
    <n v="7526.6790299999993"/>
    <n v="2034.3584900000001"/>
    <n v="0"/>
    <n v="8691.8169522998942"/>
    <n v="1796.1421238029029"/>
  </r>
  <r>
    <s v="Regular"/>
    <x v="2"/>
    <x v="2"/>
    <x v="3"/>
    <x v="0"/>
    <x v="0"/>
    <x v="0"/>
    <x v="1"/>
    <x v="0"/>
    <n v="0"/>
    <n v="0"/>
    <n v="54.207999999999998"/>
    <n v="54.207999999999998"/>
    <n v="54.207999999999998"/>
    <n v="54.207999999999998"/>
    <n v="41"/>
    <x v="0"/>
    <n v="0"/>
    <n v="0"/>
    <n v="51"/>
    <n v="44"/>
    <n v="0"/>
    <n v="490.02"/>
    <n v="116.05"/>
    <m/>
    <n v="629.87923328312354"/>
    <n v="109.44276893593884"/>
    <n v="0"/>
    <n v="26563.004159999997"/>
    <n v="6290.8383999999996"/>
    <n v="0"/>
    <n v="34144.493477811557"/>
    <n v="5932.6736184793726"/>
  </r>
  <r>
    <s v="Regular"/>
    <x v="2"/>
    <x v="2"/>
    <x v="3"/>
    <x v="0"/>
    <x v="0"/>
    <x v="0"/>
    <x v="1"/>
    <x v="1"/>
    <n v="0"/>
    <n v="0"/>
    <n v="59.506"/>
    <n v="59.506"/>
    <n v="59.506"/>
    <n v="59.506"/>
    <n v="41"/>
    <x v="0"/>
    <n v="0"/>
    <n v="0"/>
    <n v="51"/>
    <n v="44"/>
    <n v="0"/>
    <n v="490.02"/>
    <n v="116.05"/>
    <m/>
    <n v="629.87923328312354"/>
    <n v="109.44276893593884"/>
    <n v="0"/>
    <n v="29159.130119999998"/>
    <n v="6905.6713"/>
    <n v="0"/>
    <n v="37481.59365574555"/>
    <n v="6512.5014083019769"/>
  </r>
  <r>
    <s v="Regular"/>
    <x v="2"/>
    <x v="2"/>
    <x v="3"/>
    <x v="0"/>
    <x v="0"/>
    <x v="0"/>
    <x v="1"/>
    <x v="2"/>
    <n v="0"/>
    <n v="0"/>
    <n v="56.250999999999998"/>
    <n v="56.250999999999998"/>
    <n v="56.250999999999998"/>
    <n v="56.250999999999998"/>
    <n v="42"/>
    <x v="0"/>
    <n v="0"/>
    <n v="0"/>
    <n v="51"/>
    <n v="44"/>
    <n v="0"/>
    <n v="490.02"/>
    <n v="116.05"/>
    <m/>
    <n v="629.87923328312354"/>
    <n v="109.44276893593884"/>
    <n v="0"/>
    <n v="27564.115019999997"/>
    <n v="6527.9285499999996"/>
    <n v="0"/>
    <n v="35431.336751408984"/>
    <n v="6156.2651954154953"/>
  </r>
  <r>
    <s v="Regular"/>
    <x v="2"/>
    <x v="2"/>
    <x v="3"/>
    <x v="0"/>
    <x v="0"/>
    <x v="0"/>
    <x v="1"/>
    <x v="3"/>
    <n v="0"/>
    <n v="0"/>
    <n v="56.595999999999997"/>
    <n v="56.595999999999997"/>
    <n v="56.595999999999997"/>
    <n v="56.595999999999997"/>
    <n v="42"/>
    <x v="0"/>
    <n v="0"/>
    <n v="0"/>
    <n v="51"/>
    <n v="44"/>
    <n v="0"/>
    <n v="490.02"/>
    <n v="116.05"/>
    <m/>
    <n v="629.87923328312354"/>
    <n v="109.44276893593884"/>
    <n v="0"/>
    <n v="27733.171919999997"/>
    <n v="6567.965799999999"/>
    <n v="0"/>
    <n v="35648.645086891658"/>
    <n v="6194.0229506983942"/>
  </r>
  <r>
    <s v="Regular"/>
    <x v="2"/>
    <x v="2"/>
    <x v="3"/>
    <x v="0"/>
    <x v="0"/>
    <x v="0"/>
    <x v="1"/>
    <x v="4"/>
    <n v="0"/>
    <n v="0"/>
    <n v="53.649000000000001"/>
    <n v="53.649000000000001"/>
    <n v="53.649000000000001"/>
    <n v="53.649000000000001"/>
    <n v="42"/>
    <x v="0"/>
    <n v="0"/>
    <n v="0"/>
    <n v="51"/>
    <n v="44"/>
    <n v="0"/>
    <n v="490.02"/>
    <n v="116.05"/>
    <m/>
    <n v="629.87923328312354"/>
    <n v="109.44276893593884"/>
    <n v="0"/>
    <n v="26289.082979999999"/>
    <n v="6225.9664499999999"/>
    <n v="0"/>
    <n v="33792.390986406295"/>
    <n v="5871.4951106441831"/>
  </r>
  <r>
    <s v="Regular"/>
    <x v="2"/>
    <x v="2"/>
    <x v="3"/>
    <x v="0"/>
    <x v="0"/>
    <x v="0"/>
    <x v="1"/>
    <x v="5"/>
    <n v="0"/>
    <n v="0"/>
    <n v="56.908999999999999"/>
    <n v="56.908999999999999"/>
    <n v="56.908999999999999"/>
    <n v="56.908999999999999"/>
    <n v="42"/>
    <x v="0"/>
    <n v="0"/>
    <n v="0"/>
    <n v="51"/>
    <n v="44"/>
    <n v="0"/>
    <n v="490.02"/>
    <n v="116.05"/>
    <m/>
    <n v="629.87923328312354"/>
    <n v="109.44276893593884"/>
    <n v="0"/>
    <n v="27886.548179999998"/>
    <n v="6604.2894499999993"/>
    <n v="0"/>
    <n v="35845.797286909277"/>
    <n v="6228.2785373753431"/>
  </r>
  <r>
    <s v="Regular"/>
    <x v="2"/>
    <x v="2"/>
    <x v="3"/>
    <x v="0"/>
    <x v="0"/>
    <x v="0"/>
    <x v="1"/>
    <x v="6"/>
    <n v="0"/>
    <n v="0"/>
    <n v="59.033999999999999"/>
    <n v="59.033999999999999"/>
    <n v="59.033999999999999"/>
    <n v="59.033999999999999"/>
    <n v="38"/>
    <x v="0"/>
    <n v="0"/>
    <n v="0"/>
    <n v="51"/>
    <n v="44"/>
    <n v="0"/>
    <n v="490.02"/>
    <n v="116.05"/>
    <m/>
    <n v="629.87923328312354"/>
    <n v="109.44276893593884"/>
    <n v="0"/>
    <n v="28927.840679999998"/>
    <n v="6850.8957"/>
    <n v="0"/>
    <n v="37184.290657635916"/>
    <n v="6460.8444213642133"/>
  </r>
  <r>
    <s v="Regular"/>
    <x v="2"/>
    <x v="2"/>
    <x v="3"/>
    <x v="0"/>
    <x v="0"/>
    <x v="0"/>
    <x v="1"/>
    <x v="7"/>
    <n v="0"/>
    <n v="0"/>
    <n v="61.593000000000004"/>
    <n v="61.593000000000004"/>
    <n v="61.593000000000004"/>
    <n v="61.593000000000004"/>
    <n v="37"/>
    <x v="0"/>
    <n v="0"/>
    <n v="0"/>
    <n v="51"/>
    <n v="44"/>
    <n v="0"/>
    <n v="490.02"/>
    <n v="116.05"/>
    <m/>
    <n v="629.87923328312354"/>
    <n v="109.44276893593884"/>
    <n v="0"/>
    <n v="30181.80186"/>
    <n v="7147.8676500000001"/>
    <n v="0"/>
    <n v="38796.151615607429"/>
    <n v="6740.9084670712818"/>
  </r>
  <r>
    <s v="Sistema de Compensação"/>
    <x v="2"/>
    <x v="2"/>
    <x v="3"/>
    <x v="0"/>
    <x v="0"/>
    <x v="0"/>
    <x v="1"/>
    <x v="7"/>
    <n v="0"/>
    <n v="0"/>
    <n v="0.122"/>
    <n v="0.122"/>
    <n v="0.122"/>
    <n v="0.122"/>
    <n v="1"/>
    <x v="0"/>
    <n v="0"/>
    <n v="0"/>
    <n v="51"/>
    <n v="44"/>
    <n v="0"/>
    <n v="490.02"/>
    <n v="116.05"/>
    <m/>
    <n v="629.87923328312354"/>
    <n v="109.44276893593884"/>
    <n v="0"/>
    <n v="59.782439999999994"/>
    <n v="14.158099999999999"/>
    <n v="0"/>
    <n v="76.845266460541069"/>
    <n v="13.352017810184538"/>
  </r>
  <r>
    <s v="Regular"/>
    <x v="2"/>
    <x v="2"/>
    <x v="3"/>
    <x v="0"/>
    <x v="0"/>
    <x v="0"/>
    <x v="1"/>
    <x v="8"/>
    <n v="0"/>
    <n v="0"/>
    <n v="53.148000000000003"/>
    <n v="53.148000000000003"/>
    <n v="53.148000000000003"/>
    <n v="53.148000000000003"/>
    <n v="36"/>
    <x v="0"/>
    <n v="0"/>
    <n v="0"/>
    <n v="51"/>
    <n v="44"/>
    <n v="0"/>
    <n v="490.02"/>
    <n v="116.05"/>
    <m/>
    <n v="629.87923328312354"/>
    <n v="109.44276893593884"/>
    <n v="0"/>
    <n v="26043.58296"/>
    <n v="6167.8254000000006"/>
    <n v="0"/>
    <n v="33476.821490531453"/>
    <n v="5816.6642834072782"/>
  </r>
  <r>
    <s v="Sistema de Compensação"/>
    <x v="2"/>
    <x v="2"/>
    <x v="3"/>
    <x v="0"/>
    <x v="0"/>
    <x v="0"/>
    <x v="1"/>
    <x v="8"/>
    <n v="0"/>
    <n v="0"/>
    <n v="0.35099999999999998"/>
    <n v="0.35099999999999998"/>
    <n v="0.35099999999999998"/>
    <n v="0.35099999999999998"/>
    <n v="2"/>
    <x v="0"/>
    <n v="0"/>
    <n v="0"/>
    <n v="51"/>
    <n v="44"/>
    <n v="0"/>
    <n v="490.02"/>
    <n v="116.05"/>
    <m/>
    <n v="629.87923328312354"/>
    <n v="109.44276893593884"/>
    <n v="0"/>
    <n v="171.99701999999999"/>
    <n v="40.733549999999994"/>
    <n v="0"/>
    <n v="221.08761088237634"/>
    <n v="38.41441189651453"/>
  </r>
  <r>
    <s v="Regular"/>
    <x v="2"/>
    <x v="2"/>
    <x v="3"/>
    <x v="0"/>
    <x v="0"/>
    <x v="0"/>
    <x v="1"/>
    <x v="9"/>
    <n v="0"/>
    <n v="0"/>
    <n v="53.484000000000002"/>
    <n v="53.484000000000002"/>
    <n v="53.484000000000002"/>
    <n v="53.484000000000002"/>
    <n v="36"/>
    <x v="0"/>
    <n v="0"/>
    <n v="0"/>
    <n v="51"/>
    <n v="44"/>
    <n v="0"/>
    <n v="490.02"/>
    <n v="116.05"/>
    <m/>
    <n v="629.87923328312354"/>
    <n v="109.44276893593884"/>
    <n v="0"/>
    <n v="26208.22968"/>
    <n v="6206.8181999999997"/>
    <n v="0"/>
    <n v="33688.460912914583"/>
    <n v="5853.4370537697532"/>
  </r>
  <r>
    <s v="Sistema de Compensação"/>
    <x v="2"/>
    <x v="2"/>
    <x v="3"/>
    <x v="0"/>
    <x v="0"/>
    <x v="0"/>
    <x v="1"/>
    <x v="9"/>
    <n v="0"/>
    <n v="0"/>
    <n v="0.42"/>
    <n v="0.42"/>
    <n v="0.42"/>
    <n v="0.42"/>
    <n v="2"/>
    <x v="0"/>
    <n v="0"/>
    <n v="0"/>
    <n v="51"/>
    <n v="44"/>
    <n v="0"/>
    <n v="490.02"/>
    <n v="116.05"/>
    <m/>
    <n v="629.87923328312354"/>
    <n v="109.44276893593884"/>
    <n v="0"/>
    <n v="205.80839999999998"/>
    <n v="48.741"/>
    <n v="0"/>
    <n v="264.5492779789119"/>
    <n v="45.965962953094312"/>
  </r>
  <r>
    <s v="Regular"/>
    <x v="2"/>
    <x v="2"/>
    <x v="3"/>
    <x v="0"/>
    <x v="0"/>
    <x v="0"/>
    <x v="1"/>
    <x v="10"/>
    <n v="0"/>
    <n v="0"/>
    <n v="53.984999999999999"/>
    <n v="53.984999999999999"/>
    <n v="53.984999999999999"/>
    <n v="53.984999999999999"/>
    <n v="35"/>
    <x v="0"/>
    <n v="0"/>
    <n v="0"/>
    <n v="51"/>
    <n v="44"/>
    <n v="0"/>
    <n v="490.02"/>
    <n v="116.05"/>
    <m/>
    <n v="629.87923328312354"/>
    <n v="109.44276893593884"/>
    <n v="0"/>
    <n v="26453.7297"/>
    <n v="6264.9592499999999"/>
    <n v="0"/>
    <n v="34004.030408789426"/>
    <n v="5908.2678810066582"/>
  </r>
  <r>
    <s v="Sistema de Compensação"/>
    <x v="2"/>
    <x v="2"/>
    <x v="3"/>
    <x v="0"/>
    <x v="0"/>
    <x v="0"/>
    <x v="1"/>
    <x v="10"/>
    <n v="0"/>
    <n v="0"/>
    <n v="0.63"/>
    <n v="0.63"/>
    <n v="0.63"/>
    <n v="0.63"/>
    <n v="3"/>
    <x v="0"/>
    <n v="0"/>
    <n v="0"/>
    <n v="51"/>
    <n v="44"/>
    <n v="0"/>
    <n v="490.02"/>
    <n v="116.05"/>
    <m/>
    <n v="629.87923328312354"/>
    <n v="109.44276893593884"/>
    <n v="0"/>
    <n v="308.71260000000001"/>
    <n v="73.111499999999992"/>
    <n v="0"/>
    <n v="396.82391696836783"/>
    <n v="68.948944429641472"/>
  </r>
  <r>
    <s v="Regular"/>
    <x v="2"/>
    <x v="2"/>
    <x v="3"/>
    <x v="0"/>
    <x v="0"/>
    <x v="0"/>
    <x v="1"/>
    <x v="11"/>
    <n v="0"/>
    <n v="0"/>
    <n v="54.271000000000001"/>
    <n v="54.271000000000001"/>
    <n v="54.271000000000001"/>
    <n v="54.271000000000001"/>
    <n v="35"/>
    <x v="0"/>
    <n v="0"/>
    <n v="0"/>
    <n v="51"/>
    <n v="44"/>
    <n v="0"/>
    <n v="490.02"/>
    <n v="116.05"/>
    <m/>
    <n v="629.87923328312354"/>
    <n v="109.44276893593884"/>
    <n v="0"/>
    <n v="26593.87542"/>
    <n v="6298.1495500000001"/>
    <n v="0"/>
    <n v="34184.175869508399"/>
    <n v="5939.5685129223375"/>
  </r>
  <r>
    <s v="Sistema de Compensação"/>
    <x v="2"/>
    <x v="2"/>
    <x v="3"/>
    <x v="0"/>
    <x v="0"/>
    <x v="0"/>
    <x v="1"/>
    <x v="11"/>
    <n v="0"/>
    <n v="0"/>
    <n v="0.56699999999999995"/>
    <n v="0.56699999999999995"/>
    <n v="0.56699999999999995"/>
    <n v="0.56699999999999995"/>
    <n v="3"/>
    <x v="0"/>
    <n v="0"/>
    <n v="0"/>
    <n v="51"/>
    <n v="44"/>
    <n v="0"/>
    <n v="490.02"/>
    <n v="116.05"/>
    <m/>
    <n v="629.87923328312354"/>
    <n v="109.44276893593884"/>
    <n v="0"/>
    <n v="277.84133999999995"/>
    <n v="65.800349999999995"/>
    <n v="0"/>
    <n v="357.14152527153101"/>
    <n v="62.05404998667732"/>
  </r>
  <r>
    <s v="Regular"/>
    <x v="3"/>
    <x v="2"/>
    <x v="0"/>
    <x v="0"/>
    <x v="0"/>
    <x v="0"/>
    <x v="1"/>
    <x v="0"/>
    <n v="0"/>
    <n v="0"/>
    <n v="99.745999999999995"/>
    <n v="99.745999999999995"/>
    <n v="99.745999999999995"/>
    <n v="99.745999999999995"/>
    <n v="88"/>
    <x v="0"/>
    <n v="0"/>
    <n v="0"/>
    <n v="40"/>
    <n v="83"/>
    <n v="0"/>
    <n v="556.84"/>
    <n v="131.87"/>
    <m/>
    <n v="670.0842907267272"/>
    <n v="116.42847759142431"/>
    <n v="0"/>
    <n v="55542.562640000004"/>
    <n v="13153.505020000001"/>
    <n v="0"/>
    <n v="66838.227662828125"/>
    <n v="11613.274925834208"/>
  </r>
  <r>
    <s v="Regular"/>
    <x v="3"/>
    <x v="2"/>
    <x v="0"/>
    <x v="0"/>
    <x v="0"/>
    <x v="0"/>
    <x v="1"/>
    <x v="1"/>
    <n v="0"/>
    <n v="0"/>
    <n v="122.646"/>
    <n v="122.646"/>
    <n v="122.646"/>
    <n v="122.646"/>
    <n v="88"/>
    <x v="0"/>
    <n v="0"/>
    <n v="0"/>
    <n v="40"/>
    <n v="83"/>
    <n v="0"/>
    <n v="556.84"/>
    <n v="131.87"/>
    <m/>
    <n v="670.0842907267272"/>
    <n v="116.42847759142431"/>
    <n v="0"/>
    <n v="68294.198640000002"/>
    <n v="16173.328020000001"/>
    <n v="0"/>
    <n v="82183.157920470185"/>
    <n v="14279.487062677827"/>
  </r>
  <r>
    <s v="Regular"/>
    <x v="3"/>
    <x v="2"/>
    <x v="0"/>
    <x v="0"/>
    <x v="0"/>
    <x v="0"/>
    <x v="1"/>
    <x v="2"/>
    <n v="0"/>
    <n v="0"/>
    <n v="134.47900000000001"/>
    <n v="134.47900000000001"/>
    <n v="134.47900000000001"/>
    <n v="134.47900000000001"/>
    <n v="88"/>
    <x v="0"/>
    <n v="0"/>
    <n v="0"/>
    <n v="40"/>
    <n v="83"/>
    <n v="0"/>
    <n v="556.84"/>
    <n v="131.87"/>
    <m/>
    <n v="670.0842907267272"/>
    <n v="116.42847759142431"/>
    <n v="0"/>
    <n v="74883.286360000013"/>
    <n v="17733.745730000002"/>
    <n v="0"/>
    <n v="90112.265332639552"/>
    <n v="15657.185238017151"/>
  </r>
  <r>
    <s v="Regular"/>
    <x v="3"/>
    <x v="2"/>
    <x v="0"/>
    <x v="0"/>
    <x v="0"/>
    <x v="0"/>
    <x v="1"/>
    <x v="3"/>
    <n v="0"/>
    <n v="0"/>
    <n v="128.13"/>
    <n v="128.13"/>
    <n v="128.13"/>
    <n v="128.13"/>
    <n v="88"/>
    <x v="0"/>
    <n v="0"/>
    <n v="0"/>
    <n v="40"/>
    <n v="83"/>
    <n v="0"/>
    <n v="556.84"/>
    <n v="131.87"/>
    <m/>
    <n v="670.0842907267272"/>
    <n v="116.42847759142431"/>
    <n v="0"/>
    <n v="71347.909199999995"/>
    <n v="16896.503100000002"/>
    <n v="0"/>
    <n v="85857.900170815556"/>
    <n v="14917.980833789197"/>
  </r>
  <r>
    <s v="Regular"/>
    <x v="3"/>
    <x v="2"/>
    <x v="0"/>
    <x v="0"/>
    <x v="0"/>
    <x v="0"/>
    <x v="1"/>
    <x v="4"/>
    <n v="0"/>
    <n v="0"/>
    <n v="96.647000000000006"/>
    <n v="96.647000000000006"/>
    <n v="96.647000000000006"/>
    <n v="96.647000000000006"/>
    <n v="86"/>
    <x v="0"/>
    <n v="0"/>
    <n v="0"/>
    <n v="40"/>
    <n v="83"/>
    <n v="0"/>
    <n v="556.84"/>
    <n v="131.87"/>
    <m/>
    <n v="670.0842907267272"/>
    <n v="116.42847759142431"/>
    <n v="0"/>
    <n v="53816.915480000003"/>
    <n v="12744.839890000001"/>
    <n v="0"/>
    <n v="64761.63644586601"/>
    <n v="11252.463073778386"/>
  </r>
  <r>
    <s v="Regular"/>
    <x v="3"/>
    <x v="2"/>
    <x v="0"/>
    <x v="0"/>
    <x v="0"/>
    <x v="0"/>
    <x v="1"/>
    <x v="5"/>
    <n v="0"/>
    <n v="0"/>
    <n v="93.451999999999998"/>
    <n v="93.451999999999998"/>
    <n v="93.451999999999998"/>
    <n v="93.451999999999998"/>
    <n v="86"/>
    <x v="0"/>
    <n v="0"/>
    <n v="0"/>
    <n v="40"/>
    <n v="83"/>
    <n v="0"/>
    <n v="556.84"/>
    <n v="131.87"/>
    <m/>
    <n v="670.0842907267272"/>
    <n v="116.42847759142431"/>
    <n v="0"/>
    <n v="52037.811679999999"/>
    <n v="12323.515240000001"/>
    <n v="0"/>
    <n v="62620.717136994106"/>
    <n v="10880.474087873785"/>
  </r>
  <r>
    <s v="Regular"/>
    <x v="3"/>
    <x v="2"/>
    <x v="0"/>
    <x v="0"/>
    <x v="0"/>
    <x v="0"/>
    <x v="1"/>
    <x v="6"/>
    <n v="0"/>
    <n v="0"/>
    <n v="87.777000000000001"/>
    <n v="87.777000000000001"/>
    <n v="87.777000000000001"/>
    <n v="87.777000000000001"/>
    <n v="87"/>
    <x v="0"/>
    <n v="0"/>
    <n v="0"/>
    <n v="40"/>
    <n v="83"/>
    <n v="0"/>
    <n v="556.84"/>
    <n v="131.87"/>
    <m/>
    <n v="670.0842907267272"/>
    <n v="116.42847759142431"/>
    <n v="0"/>
    <n v="48877.744680000003"/>
    <n v="11575.152990000001"/>
    <n v="0"/>
    <n v="58817.988787119932"/>
    <n v="10219.742477542452"/>
  </r>
  <r>
    <s v="Regular"/>
    <x v="3"/>
    <x v="2"/>
    <x v="0"/>
    <x v="0"/>
    <x v="0"/>
    <x v="0"/>
    <x v="1"/>
    <x v="7"/>
    <n v="0"/>
    <n v="0"/>
    <n v="99.113"/>
    <n v="99.113"/>
    <n v="99.113"/>
    <n v="99.113"/>
    <n v="86"/>
    <x v="0"/>
    <n v="0"/>
    <n v="0"/>
    <n v="40"/>
    <n v="83"/>
    <n v="0"/>
    <n v="556.84"/>
    <n v="131.87"/>
    <m/>
    <n v="670.0842907267272"/>
    <n v="116.42847759142431"/>
    <n v="0"/>
    <n v="55190.082920000001"/>
    <n v="13070.03131"/>
    <n v="0"/>
    <n v="66414.064306798115"/>
    <n v="11539.575699518839"/>
  </r>
  <r>
    <s v="Regular"/>
    <x v="3"/>
    <x v="2"/>
    <x v="0"/>
    <x v="0"/>
    <x v="0"/>
    <x v="0"/>
    <x v="1"/>
    <x v="8"/>
    <n v="0"/>
    <n v="0"/>
    <n v="105.268"/>
    <n v="105.268"/>
    <n v="105.268"/>
    <n v="105.268"/>
    <n v="86"/>
    <x v="0"/>
    <n v="0"/>
    <n v="0"/>
    <n v="40"/>
    <n v="83"/>
    <n v="0"/>
    <n v="556.84"/>
    <n v="131.87"/>
    <m/>
    <n v="670.0842907267272"/>
    <n v="116.42847759142431"/>
    <n v="0"/>
    <n v="58617.433120000002"/>
    <n v="13881.69116"/>
    <n v="0"/>
    <n v="70538.433116221117"/>
    <n v="12256.192979094054"/>
  </r>
  <r>
    <s v="Regular"/>
    <x v="3"/>
    <x v="2"/>
    <x v="0"/>
    <x v="0"/>
    <x v="0"/>
    <x v="0"/>
    <x v="1"/>
    <x v="9"/>
    <n v="0"/>
    <n v="0"/>
    <n v="101.986"/>
    <n v="101.986"/>
    <n v="101.986"/>
    <n v="101.986"/>
    <n v="85"/>
    <x v="0"/>
    <n v="0"/>
    <n v="0"/>
    <n v="40"/>
    <n v="83"/>
    <n v="0"/>
    <n v="556.84"/>
    <n v="131.87"/>
    <m/>
    <n v="670.0842907267272"/>
    <n v="116.42847759142431"/>
    <n v="0"/>
    <n v="56789.884240000007"/>
    <n v="13448.893820000001"/>
    <n v="0"/>
    <n v="68339.216474055997"/>
    <n v="11874.074715639001"/>
  </r>
  <r>
    <s v="Regular"/>
    <x v="3"/>
    <x v="2"/>
    <x v="0"/>
    <x v="0"/>
    <x v="0"/>
    <x v="0"/>
    <x v="1"/>
    <x v="10"/>
    <n v="0"/>
    <n v="0"/>
    <n v="102.489"/>
    <n v="102.489"/>
    <n v="102.489"/>
    <n v="102.489"/>
    <n v="85"/>
    <x v="0"/>
    <n v="0"/>
    <n v="0"/>
    <n v="40"/>
    <n v="83"/>
    <n v="0"/>
    <n v="556.84"/>
    <n v="131.87"/>
    <m/>
    <n v="670.0842907267272"/>
    <n v="116.42847759142431"/>
    <n v="0"/>
    <n v="57069.974760000005"/>
    <n v="13515.22443"/>
    <n v="0"/>
    <n v="68676.268872291548"/>
    <n v="11932.638239867487"/>
  </r>
  <r>
    <s v="Regular"/>
    <x v="3"/>
    <x v="2"/>
    <x v="0"/>
    <x v="0"/>
    <x v="0"/>
    <x v="0"/>
    <x v="1"/>
    <x v="11"/>
    <n v="0"/>
    <n v="0"/>
    <n v="96.046999999999997"/>
    <n v="96.046999999999997"/>
    <n v="96.046999999999997"/>
    <n v="96.046999999999997"/>
    <n v="85"/>
    <x v="0"/>
    <n v="0"/>
    <n v="0"/>
    <n v="40"/>
    <n v="83"/>
    <n v="0"/>
    <n v="556.84"/>
    <n v="131.87"/>
    <m/>
    <n v="670.0842907267272"/>
    <n v="116.42847759142431"/>
    <n v="0"/>
    <n v="53482.811480000004"/>
    <n v="12665.71789"/>
    <n v="0"/>
    <n v="64359.585871429968"/>
    <n v="11182.605987223531"/>
  </r>
  <r>
    <s v="Regular"/>
    <x v="3"/>
    <x v="2"/>
    <x v="4"/>
    <x v="0"/>
    <x v="0"/>
    <x v="0"/>
    <x v="1"/>
    <x v="0"/>
    <n v="0"/>
    <n v="0"/>
    <n v="5.0599999999999996"/>
    <n v="5.0599999999999996"/>
    <n v="5.0599999999999996"/>
    <n v="5.0599999999999996"/>
    <n v="18"/>
    <x v="0"/>
    <n v="0"/>
    <n v="0"/>
    <n v="40"/>
    <n v="83"/>
    <n v="0"/>
    <n v="556.84"/>
    <n v="131.87"/>
    <m/>
    <n v="670.0842907267272"/>
    <n v="116.42847759142431"/>
    <n v="0"/>
    <n v="2817.6104"/>
    <n v="667.26220000000001"/>
    <n v="0"/>
    <n v="3390.6265110772392"/>
    <n v="589.12809661260701"/>
  </r>
  <r>
    <s v="Regular"/>
    <x v="3"/>
    <x v="2"/>
    <x v="4"/>
    <x v="0"/>
    <x v="0"/>
    <x v="0"/>
    <x v="1"/>
    <x v="1"/>
    <n v="0"/>
    <n v="0"/>
    <n v="5.2249999999999996"/>
    <n v="5.2249999999999996"/>
    <n v="5.2249999999999996"/>
    <n v="5.2249999999999996"/>
    <n v="18"/>
    <x v="0"/>
    <n v="0"/>
    <n v="0"/>
    <n v="40"/>
    <n v="83"/>
    <n v="0"/>
    <n v="556.84"/>
    <n v="131.87"/>
    <m/>
    <n v="670.0842907267272"/>
    <n v="116.42847759142431"/>
    <n v="0"/>
    <n v="2909.489"/>
    <n v="689.02075000000002"/>
    <n v="0"/>
    <n v="3501.1904190471496"/>
    <n v="608.33879541519195"/>
  </r>
  <r>
    <s v="Regular"/>
    <x v="3"/>
    <x v="2"/>
    <x v="4"/>
    <x v="0"/>
    <x v="0"/>
    <x v="0"/>
    <x v="1"/>
    <x v="2"/>
    <n v="0"/>
    <n v="0"/>
    <n v="7.59"/>
    <n v="7.59"/>
    <n v="7.59"/>
    <n v="7.59"/>
    <n v="18"/>
    <x v="0"/>
    <n v="0"/>
    <n v="0"/>
    <n v="40"/>
    <n v="83"/>
    <n v="0"/>
    <n v="556.84"/>
    <n v="131.87"/>
    <m/>
    <n v="670.0842907267272"/>
    <n v="116.42847759142431"/>
    <n v="0"/>
    <n v="4226.4156000000003"/>
    <n v="1000.8933000000001"/>
    <n v="0"/>
    <n v="5085.9397666158593"/>
    <n v="883.69214491891046"/>
  </r>
  <r>
    <s v="Regular"/>
    <x v="3"/>
    <x v="2"/>
    <x v="4"/>
    <x v="0"/>
    <x v="0"/>
    <x v="0"/>
    <x v="1"/>
    <x v="3"/>
    <n v="0"/>
    <n v="0"/>
    <n v="7.13"/>
    <n v="7.13"/>
    <n v="7.13"/>
    <n v="7.13"/>
    <n v="18"/>
    <x v="0"/>
    <n v="0"/>
    <n v="0"/>
    <n v="40"/>
    <n v="83"/>
    <n v="0"/>
    <n v="556.84"/>
    <n v="131.87"/>
    <m/>
    <n v="670.0842907267272"/>
    <n v="116.42847759142431"/>
    <n v="0"/>
    <n v="3970.2692000000002"/>
    <n v="940.23310000000004"/>
    <n v="0"/>
    <n v="4777.7009928815651"/>
    <n v="830.13504522685537"/>
  </r>
  <r>
    <s v="Regular"/>
    <x v="3"/>
    <x v="2"/>
    <x v="4"/>
    <x v="0"/>
    <x v="0"/>
    <x v="0"/>
    <x v="1"/>
    <x v="4"/>
    <n v="0"/>
    <n v="0"/>
    <n v="15.183"/>
    <n v="15.183"/>
    <n v="15.183"/>
    <n v="15.183"/>
    <n v="18"/>
    <x v="0"/>
    <n v="0"/>
    <n v="0"/>
    <n v="40"/>
    <n v="83"/>
    <n v="0"/>
    <n v="556.84"/>
    <n v="131.87"/>
    <m/>
    <n v="670.0842907267272"/>
    <n v="116.42847759142431"/>
    <n v="0"/>
    <n v="8454.5017200000002"/>
    <n v="2002.1822099999999"/>
    <n v="0"/>
    <n v="10173.889786103899"/>
    <n v="1767.7335752705953"/>
  </r>
  <r>
    <s v="Regular"/>
    <x v="3"/>
    <x v="2"/>
    <x v="4"/>
    <x v="0"/>
    <x v="0"/>
    <x v="0"/>
    <x v="1"/>
    <x v="5"/>
    <n v="0"/>
    <n v="0"/>
    <n v="12.304"/>
    <n v="12.304"/>
    <n v="12.304"/>
    <n v="12.304"/>
    <n v="18"/>
    <x v="0"/>
    <n v="0"/>
    <n v="0"/>
    <n v="40"/>
    <n v="83"/>
    <n v="0"/>
    <n v="556.84"/>
    <n v="131.87"/>
    <m/>
    <n v="670.0842907267272"/>
    <n v="116.42847759142431"/>
    <n v="0"/>
    <n v="6851.3593600000004"/>
    <n v="1622.5284800000002"/>
    <n v="0"/>
    <n v="8244.7171131016512"/>
    <n v="1432.5359882848848"/>
  </r>
  <r>
    <s v="Regular"/>
    <x v="3"/>
    <x v="2"/>
    <x v="4"/>
    <x v="0"/>
    <x v="0"/>
    <x v="0"/>
    <x v="1"/>
    <x v="6"/>
    <n v="0"/>
    <n v="0"/>
    <n v="7.01"/>
    <n v="7.01"/>
    <n v="7.01"/>
    <n v="7.01"/>
    <n v="18"/>
    <x v="0"/>
    <n v="0"/>
    <n v="0"/>
    <n v="40"/>
    <n v="83"/>
    <n v="0"/>
    <n v="556.84"/>
    <n v="131.87"/>
    <m/>
    <n v="670.0842907267272"/>
    <n v="116.42847759142431"/>
    <n v="0"/>
    <n v="3903.4484000000002"/>
    <n v="924.40869999999995"/>
    <n v="0"/>
    <n v="4697.2908779943573"/>
    <n v="816.16362791588438"/>
  </r>
  <r>
    <s v="Regular"/>
    <x v="3"/>
    <x v="2"/>
    <x v="4"/>
    <x v="0"/>
    <x v="0"/>
    <x v="0"/>
    <x v="1"/>
    <x v="7"/>
    <n v="0"/>
    <n v="0"/>
    <n v="7.4349999999999996"/>
    <n v="7.4349999999999996"/>
    <n v="7.4349999999999996"/>
    <n v="7.4349999999999996"/>
    <n v="18"/>
    <x v="0"/>
    <n v="0"/>
    <n v="0"/>
    <n v="40"/>
    <n v="83"/>
    <n v="0"/>
    <n v="556.84"/>
    <n v="131.87"/>
    <m/>
    <n v="670.0842907267272"/>
    <n v="116.42847759142431"/>
    <n v="0"/>
    <n v="4140.1054000000004"/>
    <n v="980.45344999999998"/>
    <n v="0"/>
    <n v="4982.0767015532165"/>
    <n v="865.64573089223973"/>
  </r>
  <r>
    <s v="Regular"/>
    <x v="3"/>
    <x v="2"/>
    <x v="4"/>
    <x v="0"/>
    <x v="0"/>
    <x v="0"/>
    <x v="1"/>
    <x v="8"/>
    <n v="0"/>
    <n v="0"/>
    <n v="11.063000000000001"/>
    <n v="11.063000000000001"/>
    <n v="11.063000000000001"/>
    <n v="11.063000000000001"/>
    <n v="18"/>
    <x v="0"/>
    <n v="0"/>
    <n v="0"/>
    <n v="40"/>
    <n v="83"/>
    <n v="0"/>
    <n v="556.84"/>
    <n v="131.87"/>
    <m/>
    <n v="670.0842907267272"/>
    <n v="116.42847759142431"/>
    <n v="0"/>
    <n v="6160.320920000001"/>
    <n v="1458.8778100000002"/>
    <n v="0"/>
    <n v="7413.1425083097838"/>
    <n v="1288.0482475939273"/>
  </r>
  <r>
    <s v="Regular"/>
    <x v="3"/>
    <x v="2"/>
    <x v="4"/>
    <x v="0"/>
    <x v="0"/>
    <x v="0"/>
    <x v="1"/>
    <x v="9"/>
    <n v="0"/>
    <n v="0"/>
    <n v="11.122"/>
    <n v="11.122"/>
    <n v="11.122"/>
    <n v="11.122"/>
    <n v="18"/>
    <x v="0"/>
    <n v="0"/>
    <n v="0"/>
    <n v="40"/>
    <n v="83"/>
    <n v="0"/>
    <n v="556.84"/>
    <n v="131.87"/>
    <m/>
    <n v="670.0842907267272"/>
    <n v="116.42847759142431"/>
    <n v="0"/>
    <n v="6193.1744800000006"/>
    <n v="1466.65814"/>
    <n v="0"/>
    <n v="7452.6774814626597"/>
    <n v="1294.9175277718211"/>
  </r>
  <r>
    <s v="Regular"/>
    <x v="3"/>
    <x v="2"/>
    <x v="4"/>
    <x v="0"/>
    <x v="0"/>
    <x v="0"/>
    <x v="1"/>
    <x v="10"/>
    <n v="0"/>
    <n v="0"/>
    <n v="10.375"/>
    <n v="10.375"/>
    <n v="10.375"/>
    <n v="10.375"/>
    <n v="18"/>
    <x v="0"/>
    <n v="0"/>
    <n v="0"/>
    <n v="40"/>
    <n v="83"/>
    <n v="0"/>
    <n v="556.84"/>
    <n v="131.87"/>
    <m/>
    <n v="670.0842907267272"/>
    <n v="116.42847759142431"/>
    <n v="0"/>
    <n v="5777.2150000000001"/>
    <n v="1368.1512500000001"/>
    <n v="0"/>
    <n v="6952.1245162897949"/>
    <n v="1207.9454550110272"/>
  </r>
  <r>
    <s v="Regular"/>
    <x v="3"/>
    <x v="2"/>
    <x v="4"/>
    <x v="0"/>
    <x v="0"/>
    <x v="0"/>
    <x v="1"/>
    <x v="11"/>
    <n v="0"/>
    <n v="0"/>
    <n v="12.573"/>
    <n v="12.573"/>
    <n v="12.573"/>
    <n v="12.573"/>
    <n v="18"/>
    <x v="0"/>
    <n v="0"/>
    <n v="0"/>
    <n v="40"/>
    <n v="83"/>
    <n v="0"/>
    <n v="556.84"/>
    <n v="131.87"/>
    <m/>
    <n v="670.0842907267272"/>
    <n v="116.42847759142431"/>
    <n v="0"/>
    <n v="7001.1493200000004"/>
    <n v="1658.0015100000001"/>
    <n v="0"/>
    <n v="8424.9697873071418"/>
    <n v="1463.855248756978"/>
  </r>
  <r>
    <s v="Regular"/>
    <x v="3"/>
    <x v="2"/>
    <x v="5"/>
    <x v="6"/>
    <x v="0"/>
    <x v="0"/>
    <x v="1"/>
    <x v="0"/>
    <n v="0"/>
    <n v="0"/>
    <n v="5.45"/>
    <n v="5.1230000000000002"/>
    <n v="5.45"/>
    <n v="5.1230000000000002"/>
    <n v="1"/>
    <x v="0"/>
    <n v="0"/>
    <n v="0"/>
    <n v="40"/>
    <n v="83"/>
    <n v="0"/>
    <n v="556.84"/>
    <n v="131.87"/>
    <m/>
    <n v="670.0842907267272"/>
    <n v="116.42847759142431"/>
    <n v="0"/>
    <n v="2852.6913200000004"/>
    <n v="675.57001000000002"/>
    <n v="0"/>
    <n v="3432.8418213930236"/>
    <n v="596.46309070086681"/>
  </r>
  <r>
    <s v="Regular"/>
    <x v="3"/>
    <x v="2"/>
    <x v="5"/>
    <x v="6"/>
    <x v="0"/>
    <x v="0"/>
    <x v="1"/>
    <x v="1"/>
    <n v="0"/>
    <n v="0"/>
    <n v="6.55"/>
    <n v="6.1569999999999991"/>
    <n v="6.55"/>
    <n v="6.1569999999999991"/>
    <n v="1"/>
    <x v="0"/>
    <n v="0"/>
    <n v="0"/>
    <n v="40"/>
    <n v="83"/>
    <n v="0"/>
    <n v="556.84"/>
    <n v="131.87"/>
    <m/>
    <n v="670.0842907267272"/>
    <n v="116.42847759142431"/>
    <n v="0"/>
    <n v="3428.4638799999998"/>
    <n v="811.92358999999988"/>
    <n v="0"/>
    <n v="4125.7089780044589"/>
    <n v="716.85013653039937"/>
  </r>
  <r>
    <s v="Regular"/>
    <x v="3"/>
    <x v="2"/>
    <x v="5"/>
    <x v="6"/>
    <x v="0"/>
    <x v="0"/>
    <x v="1"/>
    <x v="2"/>
    <n v="0"/>
    <n v="0"/>
    <n v="6.35"/>
    <n v="5.9690000000000003"/>
    <n v="6.35"/>
    <n v="5.9690000000000003"/>
    <n v="1"/>
    <x v="0"/>
    <n v="0"/>
    <n v="0"/>
    <n v="40"/>
    <n v="83"/>
    <n v="0"/>
    <n v="556.84"/>
    <n v="131.87"/>
    <m/>
    <n v="670.0842907267272"/>
    <n v="116.42847759142431"/>
    <n v="0"/>
    <n v="3323.7779600000003"/>
    <n v="787.1320300000001"/>
    <n v="0"/>
    <n v="3999.7331313478348"/>
    <n v="694.96158274321169"/>
  </r>
  <r>
    <s v="Regular"/>
    <x v="3"/>
    <x v="2"/>
    <x v="5"/>
    <x v="6"/>
    <x v="0"/>
    <x v="0"/>
    <x v="1"/>
    <x v="3"/>
    <n v="0"/>
    <n v="0"/>
    <n v="7.25"/>
    <n v="6.8150000000000004"/>
    <n v="7.25"/>
    <n v="6.8150000000000004"/>
    <n v="1"/>
    <x v="0"/>
    <n v="0"/>
    <n v="0"/>
    <n v="40"/>
    <n v="83"/>
    <n v="0"/>
    <n v="556.84"/>
    <n v="131.87"/>
    <m/>
    <n v="670.0842907267272"/>
    <n v="116.42847759142431"/>
    <n v="0"/>
    <n v="3794.8646000000003"/>
    <n v="898.69405000000006"/>
    <n v="0"/>
    <n v="4566.6244413026461"/>
    <n v="793.46007478555669"/>
  </r>
  <r>
    <s v="Regular"/>
    <x v="3"/>
    <x v="2"/>
    <x v="5"/>
    <x v="6"/>
    <x v="0"/>
    <x v="0"/>
    <x v="1"/>
    <x v="4"/>
    <n v="0"/>
    <n v="0"/>
    <n v="7.2"/>
    <n v="6.7679999999999998"/>
    <n v="7.2"/>
    <n v="6.7679999999999998"/>
    <n v="1"/>
    <x v="0"/>
    <n v="0"/>
    <n v="0"/>
    <n v="40"/>
    <n v="83"/>
    <n v="0"/>
    <n v="556.84"/>
    <n v="131.87"/>
    <m/>
    <n v="670.0842907267272"/>
    <n v="116.42847759142431"/>
    <n v="0"/>
    <n v="3768.6931199999999"/>
    <n v="892.49616000000003"/>
    <n v="0"/>
    <n v="4535.1304796384893"/>
    <n v="787.98793633875971"/>
  </r>
  <r>
    <s v="Regular"/>
    <x v="3"/>
    <x v="2"/>
    <x v="5"/>
    <x v="6"/>
    <x v="0"/>
    <x v="0"/>
    <x v="1"/>
    <x v="5"/>
    <n v="0"/>
    <n v="0"/>
    <n v="6.25"/>
    <n v="5.875"/>
    <n v="6.25"/>
    <n v="5.875"/>
    <n v="1"/>
    <x v="0"/>
    <n v="0"/>
    <n v="0"/>
    <n v="40"/>
    <n v="83"/>
    <n v="0"/>
    <n v="556.84"/>
    <n v="131.87"/>
    <m/>
    <n v="670.0842907267272"/>
    <n v="116.42847759142431"/>
    <n v="0"/>
    <n v="3271.4350000000004"/>
    <n v="774.73625000000004"/>
    <n v="0"/>
    <n v="3936.7452080195221"/>
    <n v="684.01730584961786"/>
  </r>
  <r>
    <s v="Regular"/>
    <x v="3"/>
    <x v="2"/>
    <x v="5"/>
    <x v="6"/>
    <x v="0"/>
    <x v="0"/>
    <x v="1"/>
    <x v="6"/>
    <n v="0"/>
    <n v="0"/>
    <n v="7.6"/>
    <n v="7.1440000000000001"/>
    <n v="7.6"/>
    <n v="7.1440000000000001"/>
    <n v="1"/>
    <x v="0"/>
    <n v="0"/>
    <n v="0"/>
    <n v="40"/>
    <n v="83"/>
    <n v="0"/>
    <n v="556.84"/>
    <n v="131.87"/>
    <m/>
    <n v="670.0842907267272"/>
    <n v="116.42847759142431"/>
    <n v="0"/>
    <n v="3978.0649600000002"/>
    <n v="942.07928000000004"/>
    <n v="0"/>
    <n v="4787.0821729517393"/>
    <n v="831.76504391313529"/>
  </r>
  <r>
    <s v="Regular"/>
    <x v="3"/>
    <x v="2"/>
    <x v="5"/>
    <x v="6"/>
    <x v="0"/>
    <x v="0"/>
    <x v="1"/>
    <x v="7"/>
    <n v="0"/>
    <n v="0"/>
    <n v="7.3"/>
    <n v="6.8620000000000001"/>
    <n v="7.3"/>
    <n v="6.8620000000000001"/>
    <n v="1"/>
    <x v="0"/>
    <n v="0"/>
    <n v="0"/>
    <n v="40"/>
    <n v="83"/>
    <n v="0"/>
    <n v="556.84"/>
    <n v="131.87"/>
    <m/>
    <n v="670.0842907267272"/>
    <n v="116.42847759142431"/>
    <n v="0"/>
    <n v="3821.0360800000003"/>
    <n v="904.89194000000009"/>
    <n v="0"/>
    <n v="4598.118402966802"/>
    <n v="798.93221323235366"/>
  </r>
  <r>
    <s v="Regular"/>
    <x v="3"/>
    <x v="2"/>
    <x v="5"/>
    <x v="6"/>
    <x v="0"/>
    <x v="0"/>
    <x v="1"/>
    <x v="8"/>
    <n v="0"/>
    <n v="0"/>
    <n v="4.0999999999999996"/>
    <n v="3.8540000000000001"/>
    <n v="4.0999999999999996"/>
    <n v="3.8540000000000001"/>
    <n v="1"/>
    <x v="0"/>
    <n v="0"/>
    <n v="0"/>
    <n v="40"/>
    <n v="83"/>
    <n v="0"/>
    <n v="556.84"/>
    <n v="131.87"/>
    <m/>
    <n v="670.0842907267272"/>
    <n v="116.42847759142431"/>
    <n v="0"/>
    <n v="2146.0613600000001"/>
    <n v="508.22698000000003"/>
    <n v="0"/>
    <n v="2582.5048564608069"/>
    <n v="448.71535263734933"/>
  </r>
  <r>
    <s v="Regular"/>
    <x v="3"/>
    <x v="2"/>
    <x v="5"/>
    <x v="6"/>
    <x v="0"/>
    <x v="0"/>
    <x v="1"/>
    <x v="9"/>
    <n v="0"/>
    <n v="0"/>
    <n v="8.6999999999999993"/>
    <n v="8.1780000000000008"/>
    <n v="8.6999999999999993"/>
    <n v="8.1780000000000008"/>
    <n v="1"/>
    <x v="0"/>
    <n v="0"/>
    <n v="0"/>
    <n v="40"/>
    <n v="83"/>
    <n v="0"/>
    <n v="556.84"/>
    <n v="131.87"/>
    <m/>
    <n v="670.0842907267272"/>
    <n v="116.42847759142431"/>
    <n v="0"/>
    <n v="4553.8375200000009"/>
    <n v="1078.4328600000001"/>
    <n v="0"/>
    <n v="5479.9493295631755"/>
    <n v="952.15208974266807"/>
  </r>
  <r>
    <s v="Regular"/>
    <x v="3"/>
    <x v="2"/>
    <x v="5"/>
    <x v="6"/>
    <x v="0"/>
    <x v="0"/>
    <x v="1"/>
    <x v="10"/>
    <n v="0"/>
    <n v="0"/>
    <n v="8.9"/>
    <n v="8.3659999999999997"/>
    <n v="8.9"/>
    <n v="8.3659999999999997"/>
    <n v="1"/>
    <x v="0"/>
    <n v="0"/>
    <n v="0"/>
    <n v="40"/>
    <n v="83"/>
    <n v="0"/>
    <n v="556.84"/>
    <n v="131.87"/>
    <m/>
    <n v="670.0842907267272"/>
    <n v="116.42847759142431"/>
    <n v="0"/>
    <n v="4658.5234399999999"/>
    <n v="1103.22442"/>
    <n v="0"/>
    <n v="5605.9251762197991"/>
    <n v="974.04064352985574"/>
  </r>
  <r>
    <s v="Regular"/>
    <x v="3"/>
    <x v="2"/>
    <x v="5"/>
    <x v="6"/>
    <x v="0"/>
    <x v="0"/>
    <x v="1"/>
    <x v="11"/>
    <n v="0"/>
    <n v="0"/>
    <n v="8.65"/>
    <n v="8.1310000000000002"/>
    <n v="8.65"/>
    <n v="8.1310000000000002"/>
    <n v="1"/>
    <x v="0"/>
    <n v="0"/>
    <n v="0"/>
    <n v="40"/>
    <n v="83"/>
    <n v="0"/>
    <n v="556.84"/>
    <n v="131.87"/>
    <m/>
    <n v="670.0842907267272"/>
    <n v="116.42847759142431"/>
    <n v="0"/>
    <n v="4527.6660400000001"/>
    <n v="1072.23497"/>
    <n v="0"/>
    <n v="5448.4553678990187"/>
    <n v="946.67995129587109"/>
  </r>
  <r>
    <s v="Regular"/>
    <x v="4"/>
    <x v="2"/>
    <x v="6"/>
    <x v="7"/>
    <x v="0"/>
    <x v="0"/>
    <x v="1"/>
    <x v="0"/>
    <n v="0"/>
    <n v="0"/>
    <n v="40.082999999999998"/>
    <n v="40.082999999999998"/>
    <n v="40.082999999999998"/>
    <n v="40.082999999999998"/>
    <n v="35"/>
    <x v="0"/>
    <n v="0"/>
    <n v="0"/>
    <n v="34"/>
    <n v="85"/>
    <n v="0"/>
    <n v="306.26"/>
    <n v="72.53"/>
    <m/>
    <n v="368.54635989970006"/>
    <n v="64.035662675283376"/>
    <n v="0"/>
    <n v="12275.819579999999"/>
    <n v="2907.2199900000001"/>
    <n v="0"/>
    <n v="14772.443743859678"/>
    <n v="2566.7414670133835"/>
  </r>
  <r>
    <s v="Regular"/>
    <x v="4"/>
    <x v="2"/>
    <x v="6"/>
    <x v="7"/>
    <x v="0"/>
    <x v="0"/>
    <x v="1"/>
    <x v="1"/>
    <n v="0"/>
    <n v="0"/>
    <n v="41.420999999999999"/>
    <n v="41.420999999999999"/>
    <n v="41.420999999999999"/>
    <n v="41.420999999999999"/>
    <n v="35"/>
    <x v="0"/>
    <n v="0"/>
    <n v="0"/>
    <n v="34"/>
    <n v="85"/>
    <n v="0"/>
    <n v="306.26"/>
    <n v="72.53"/>
    <m/>
    <n v="368.54635989970006"/>
    <n v="64.035662675283376"/>
    <n v="0"/>
    <n v="12685.595459999999"/>
    <n v="3004.2651300000002"/>
    <n v="0"/>
    <n v="15265.558773405477"/>
    <n v="2652.4211836729128"/>
  </r>
  <r>
    <s v="Regular"/>
    <x v="4"/>
    <x v="2"/>
    <x v="6"/>
    <x v="7"/>
    <x v="0"/>
    <x v="0"/>
    <x v="1"/>
    <x v="2"/>
    <n v="0"/>
    <n v="0"/>
    <n v="41.75"/>
    <n v="41.75"/>
    <n v="41.75"/>
    <n v="41.75"/>
    <n v="36"/>
    <x v="0"/>
    <n v="0"/>
    <n v="0"/>
    <n v="34"/>
    <n v="85"/>
    <n v="0"/>
    <n v="306.26"/>
    <n v="72.53"/>
    <m/>
    <n v="368.54635989970006"/>
    <n v="64.035662675283376"/>
    <n v="0"/>
    <n v="12786.355"/>
    <n v="3028.1275000000001"/>
    <n v="0"/>
    <n v="15386.810525812478"/>
    <n v="2673.4889166930811"/>
  </r>
  <r>
    <s v="Regular"/>
    <x v="4"/>
    <x v="2"/>
    <x v="6"/>
    <x v="7"/>
    <x v="0"/>
    <x v="0"/>
    <x v="1"/>
    <x v="3"/>
    <n v="0"/>
    <n v="0"/>
    <n v="40.631"/>
    <n v="40.631"/>
    <n v="40.631"/>
    <n v="40.631"/>
    <n v="36"/>
    <x v="0"/>
    <n v="0"/>
    <n v="0"/>
    <n v="34"/>
    <n v="85"/>
    <n v="0"/>
    <n v="306.26"/>
    <n v="72.53"/>
    <m/>
    <n v="368.54635989970006"/>
    <n v="64.035662675283376"/>
    <n v="0"/>
    <n v="12443.65006"/>
    <n v="2946.9664299999999"/>
    <n v="0"/>
    <n v="14974.407149084713"/>
    <n v="2601.8330101594388"/>
  </r>
  <r>
    <s v="Regular"/>
    <x v="4"/>
    <x v="2"/>
    <x v="6"/>
    <x v="7"/>
    <x v="0"/>
    <x v="0"/>
    <x v="1"/>
    <x v="4"/>
    <n v="0"/>
    <n v="0"/>
    <n v="41.988"/>
    <n v="41.988"/>
    <n v="41.988"/>
    <n v="41.988"/>
    <n v="36"/>
    <x v="0"/>
    <n v="0"/>
    <n v="0"/>
    <n v="34"/>
    <n v="85"/>
    <n v="0"/>
    <n v="306.26"/>
    <n v="72.53"/>
    <m/>
    <n v="368.54635989970006"/>
    <n v="64.035662675283376"/>
    <n v="0"/>
    <n v="12859.24488"/>
    <n v="3045.3896399999999"/>
    <n v="0"/>
    <n v="15474.524559468606"/>
    <n v="2688.7294044097985"/>
  </r>
  <r>
    <s v="Regular"/>
    <x v="4"/>
    <x v="2"/>
    <x v="6"/>
    <x v="7"/>
    <x v="0"/>
    <x v="0"/>
    <x v="1"/>
    <x v="5"/>
    <n v="0"/>
    <n v="0"/>
    <n v="40.347000000000001"/>
    <n v="40.347000000000001"/>
    <n v="40.347000000000001"/>
    <n v="40.347000000000001"/>
    <n v="36"/>
    <x v="0"/>
    <n v="0"/>
    <n v="0"/>
    <n v="34"/>
    <n v="85"/>
    <n v="0"/>
    <n v="306.26"/>
    <n v="72.53"/>
    <m/>
    <n v="368.54635989970006"/>
    <n v="64.035662675283376"/>
    <n v="0"/>
    <n v="12356.67222"/>
    <n v="2926.3679099999999"/>
    <n v="0"/>
    <n v="14869.7399828732"/>
    <n v="2583.6468819596585"/>
  </r>
  <r>
    <s v="Regular"/>
    <x v="4"/>
    <x v="2"/>
    <x v="6"/>
    <x v="7"/>
    <x v="0"/>
    <x v="0"/>
    <x v="1"/>
    <x v="6"/>
    <n v="0"/>
    <n v="0"/>
    <n v="41.988"/>
    <n v="41.988"/>
    <n v="41.988"/>
    <n v="41.988"/>
    <n v="36"/>
    <x v="0"/>
    <n v="0"/>
    <n v="0"/>
    <n v="34"/>
    <n v="85"/>
    <n v="0"/>
    <n v="306.26"/>
    <n v="72.53"/>
    <m/>
    <n v="368.54635989970006"/>
    <n v="64.035662675283376"/>
    <n v="0"/>
    <n v="12859.24488"/>
    <n v="3045.3896399999999"/>
    <n v="0"/>
    <n v="15474.524559468606"/>
    <n v="2688.7294044097985"/>
  </r>
  <r>
    <s v="Regular"/>
    <x v="4"/>
    <x v="2"/>
    <x v="6"/>
    <x v="7"/>
    <x v="0"/>
    <x v="0"/>
    <x v="1"/>
    <x v="7"/>
    <n v="0"/>
    <n v="0"/>
    <n v="41.677"/>
    <n v="41.677"/>
    <n v="41.677"/>
    <n v="41.677"/>
    <n v="36"/>
    <x v="0"/>
    <n v="0"/>
    <n v="0"/>
    <n v="34"/>
    <n v="85"/>
    <n v="0"/>
    <n v="306.26"/>
    <n v="72.53"/>
    <m/>
    <n v="368.54635989970006"/>
    <n v="64.035662675283376"/>
    <n v="0"/>
    <n v="12763.998019999999"/>
    <n v="3022.8328099999999"/>
    <n v="0"/>
    <n v="15359.906641539799"/>
    <n v="2668.814313317785"/>
  </r>
  <r>
    <s v="Regular"/>
    <x v="4"/>
    <x v="2"/>
    <x v="6"/>
    <x v="7"/>
    <x v="0"/>
    <x v="0"/>
    <x v="1"/>
    <x v="8"/>
    <n v="0"/>
    <n v="0"/>
    <n v="37.658000000000001"/>
    <n v="37.658000000000001"/>
    <n v="37.658000000000001"/>
    <n v="37.658000000000001"/>
    <n v="36"/>
    <x v="0"/>
    <n v="0"/>
    <n v="0"/>
    <n v="34"/>
    <n v="85"/>
    <n v="0"/>
    <n v="306.26"/>
    <n v="72.53"/>
    <m/>
    <n v="368.54635989970006"/>
    <n v="64.035662675283376"/>
    <n v="0"/>
    <n v="11533.139080000001"/>
    <n v="2731.3347400000002"/>
    <n v="0"/>
    <n v="13878.718821102906"/>
    <n v="2411.4549850258213"/>
  </r>
  <r>
    <s v="Regular"/>
    <x v="4"/>
    <x v="2"/>
    <x v="6"/>
    <x v="7"/>
    <x v="0"/>
    <x v="0"/>
    <x v="1"/>
    <x v="9"/>
    <n v="0"/>
    <n v="0"/>
    <n v="41.695"/>
    <n v="41.695"/>
    <n v="41.695"/>
    <n v="41.695"/>
    <n v="36"/>
    <x v="0"/>
    <n v="0"/>
    <n v="0"/>
    <n v="34"/>
    <n v="85"/>
    <n v="0"/>
    <n v="306.26"/>
    <n v="72.53"/>
    <m/>
    <n v="368.54635989970006"/>
    <n v="64.035662675283376"/>
    <n v="0"/>
    <n v="12769.510699999999"/>
    <n v="3024.1383500000002"/>
    <n v="0"/>
    <n v="15366.540476017994"/>
    <n v="2669.9669552459404"/>
  </r>
  <r>
    <s v="Regular"/>
    <x v="4"/>
    <x v="2"/>
    <x v="6"/>
    <x v="7"/>
    <x v="0"/>
    <x v="0"/>
    <x v="1"/>
    <x v="10"/>
    <n v="0"/>
    <n v="0"/>
    <n v="40.347999999999999"/>
    <n v="40.347999999999999"/>
    <n v="40.347999999999999"/>
    <n v="40.347999999999999"/>
    <n v="36"/>
    <x v="0"/>
    <n v="0"/>
    <n v="0"/>
    <n v="34"/>
    <n v="85"/>
    <n v="0"/>
    <n v="306.26"/>
    <n v="72.53"/>
    <m/>
    <n v="368.54635989970006"/>
    <n v="64.035662675283376"/>
    <n v="0"/>
    <n v="12356.97848"/>
    <n v="2926.4404399999999"/>
    <n v="0"/>
    <n v="14870.108529233097"/>
    <n v="2583.7109176223335"/>
  </r>
  <r>
    <s v="Regular"/>
    <x v="4"/>
    <x v="2"/>
    <x v="6"/>
    <x v="7"/>
    <x v="0"/>
    <x v="0"/>
    <x v="1"/>
    <x v="11"/>
    <n v="0"/>
    <n v="0"/>
    <n v="41.695"/>
    <n v="41.695"/>
    <n v="41.695"/>
    <n v="41.695"/>
    <n v="36"/>
    <x v="0"/>
    <n v="0"/>
    <n v="0"/>
    <n v="34"/>
    <n v="85"/>
    <n v="0"/>
    <n v="306.26"/>
    <n v="72.53"/>
    <m/>
    <n v="368.54635989970006"/>
    <n v="64.035662675283376"/>
    <n v="0"/>
    <n v="12769.510699999999"/>
    <n v="3024.1383500000002"/>
    <n v="0"/>
    <n v="15366.540476017994"/>
    <n v="2669.9669552459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Regular"/>
    <x v="0"/>
    <x v="0"/>
    <x v="0"/>
    <x v="0"/>
    <x v="0"/>
    <x v="0"/>
    <x v="0"/>
    <x v="0"/>
    <n v="0"/>
    <n v="0"/>
    <n v="990.41099999999994"/>
    <n v="990.41099999999994"/>
    <n v="990.41099999999994"/>
    <n v="990.41099999999994"/>
    <n v="6042"/>
    <s v="CATIVO"/>
    <n v="0"/>
    <n v="0"/>
    <n v="24"/>
    <n v="26"/>
    <n v="0"/>
    <n v="556.84"/>
    <n v="131.87"/>
    <m/>
    <n v="670.0842907267272"/>
    <n v="116.42847759142431"/>
    <n v="0"/>
    <n v="0"/>
    <n v="0"/>
    <n v="0"/>
    <x v="0"/>
  </r>
  <r>
    <s v="Regular"/>
    <x v="0"/>
    <x v="0"/>
    <x v="0"/>
    <x v="1"/>
    <x v="0"/>
    <x v="0"/>
    <x v="0"/>
    <x v="0"/>
    <n v="0"/>
    <n v="0"/>
    <n v="3.75"/>
    <n v="3.75"/>
    <n v="3.75"/>
    <n v="3.75"/>
    <n v="3"/>
    <s v="CATIVO"/>
    <n v="0"/>
    <n v="0"/>
    <n v="2"/>
    <n v="72"/>
    <n v="0"/>
    <n v="170.76"/>
    <n v="46.15"/>
    <m/>
    <n v="197.19556189181066"/>
    <n v="40.749967156998508"/>
    <n v="0"/>
    <n v="1510.6875"/>
    <n v="0"/>
    <n v="1657.1206487327784"/>
    <x v="1"/>
  </r>
  <r>
    <s v="Regular"/>
    <x v="0"/>
    <x v="0"/>
    <x v="0"/>
    <x v="1"/>
    <x v="0"/>
    <x v="0"/>
    <x v="0"/>
    <x v="1"/>
    <n v="0"/>
    <n v="0"/>
    <n v="3.9"/>
    <n v="3.9"/>
    <n v="3.9"/>
    <n v="3.9"/>
    <n v="1"/>
    <s v="CATIVO"/>
    <n v="0"/>
    <n v="0"/>
    <n v="2"/>
    <n v="72"/>
    <n v="0"/>
    <n v="170.76"/>
    <n v="46.15"/>
    <m/>
    <n v="197.19556189181066"/>
    <n v="40.749967156998508"/>
    <n v="0"/>
    <n v="1571.115"/>
    <n v="0"/>
    <n v="1723.4054746820896"/>
    <x v="1"/>
  </r>
  <r>
    <s v="Regular"/>
    <x v="0"/>
    <x v="0"/>
    <x v="0"/>
    <x v="1"/>
    <x v="0"/>
    <x v="0"/>
    <x v="0"/>
    <x v="2"/>
    <n v="0"/>
    <n v="0"/>
    <n v="3.78"/>
    <n v="3.78"/>
    <n v="3.78"/>
    <n v="3.78"/>
    <n v="0"/>
    <s v="CATIVO"/>
    <n v="0"/>
    <n v="0"/>
    <n v="2"/>
    <n v="72"/>
    <n v="0"/>
    <n v="170.76"/>
    <n v="46.15"/>
    <m/>
    <n v="197.19556189181066"/>
    <n v="40.749967156998508"/>
    <n v="0"/>
    <n v="1522.7729999999999"/>
    <n v="0"/>
    <n v="1670.3776139226404"/>
    <x v="1"/>
  </r>
  <r>
    <s v="Regular"/>
    <x v="0"/>
    <x v="0"/>
    <x v="0"/>
    <x v="1"/>
    <x v="0"/>
    <x v="0"/>
    <x v="0"/>
    <x v="3"/>
    <n v="0"/>
    <n v="0"/>
    <n v="4.0199999999999996"/>
    <n v="4.0199999999999996"/>
    <n v="4.0199999999999996"/>
    <n v="4.0199999999999996"/>
    <n v="3"/>
    <s v="CATIVO"/>
    <n v="0"/>
    <n v="0"/>
    <n v="2"/>
    <n v="72"/>
    <n v="0"/>
    <n v="170.76"/>
    <n v="46.15"/>
    <m/>
    <n v="197.19556189181066"/>
    <n v="40.749967156998508"/>
    <n v="0"/>
    <n v="1619.4569999999999"/>
    <n v="0"/>
    <n v="1776.4333354415382"/>
    <x v="1"/>
  </r>
  <r>
    <s v="Regular"/>
    <x v="0"/>
    <x v="0"/>
    <x v="0"/>
    <x v="1"/>
    <x v="0"/>
    <x v="0"/>
    <x v="0"/>
    <x v="4"/>
    <n v="0"/>
    <n v="0"/>
    <n v="4.41"/>
    <n v="4.41"/>
    <n v="4.41"/>
    <n v="4.41"/>
    <n v="2"/>
    <s v="CATIVO"/>
    <n v="0"/>
    <n v="0"/>
    <n v="2"/>
    <n v="72"/>
    <n v="0"/>
    <n v="170.76"/>
    <n v="46.15"/>
    <m/>
    <n v="197.19556189181066"/>
    <n v="40.749967156998508"/>
    <n v="0"/>
    <n v="1776.5685000000001"/>
    <n v="0"/>
    <n v="1948.7738829097475"/>
    <x v="1"/>
  </r>
  <r>
    <s v="Regular"/>
    <x v="0"/>
    <x v="0"/>
    <x v="0"/>
    <x v="1"/>
    <x v="0"/>
    <x v="0"/>
    <x v="0"/>
    <x v="5"/>
    <n v="0"/>
    <n v="0"/>
    <n v="4.53"/>
    <n v="4.53"/>
    <n v="4.53"/>
    <n v="4.53"/>
    <n v="2"/>
    <s v="CATIVO"/>
    <n v="0"/>
    <n v="0"/>
    <n v="2"/>
    <n v="72"/>
    <n v="0"/>
    <n v="170.76"/>
    <n v="46.15"/>
    <m/>
    <n v="197.19556189181066"/>
    <n v="40.749967156998508"/>
    <n v="0"/>
    <n v="1824.9105000000002"/>
    <n v="0"/>
    <n v="2001.8017436691964"/>
    <x v="1"/>
  </r>
  <r>
    <s v="Regular"/>
    <x v="0"/>
    <x v="0"/>
    <x v="0"/>
    <x v="1"/>
    <x v="0"/>
    <x v="0"/>
    <x v="0"/>
    <x v="6"/>
    <n v="0"/>
    <n v="0"/>
    <n v="4.68"/>
    <n v="4.68"/>
    <n v="4.68"/>
    <n v="4.68"/>
    <n v="0"/>
    <s v="CATIVO"/>
    <n v="0"/>
    <n v="0"/>
    <n v="2"/>
    <n v="72"/>
    <n v="0"/>
    <n v="170.76"/>
    <n v="46.15"/>
    <m/>
    <n v="197.19556189181066"/>
    <n v="40.749967156998508"/>
    <n v="0"/>
    <n v="1885.338"/>
    <n v="0"/>
    <n v="2068.0865696185074"/>
    <x v="1"/>
  </r>
  <r>
    <s v="Regular"/>
    <x v="0"/>
    <x v="0"/>
    <x v="0"/>
    <x v="1"/>
    <x v="0"/>
    <x v="0"/>
    <x v="0"/>
    <x v="7"/>
    <n v="0"/>
    <n v="0"/>
    <n v="6.87"/>
    <n v="6.87"/>
    <n v="6.87"/>
    <n v="6.87"/>
    <n v="9"/>
    <s v="CATIVO"/>
    <n v="0"/>
    <n v="0"/>
    <n v="2"/>
    <n v="72"/>
    <n v="0"/>
    <n v="170.76"/>
    <n v="46.15"/>
    <m/>
    <n v="197.19556189181066"/>
    <n v="40.749967156998508"/>
    <n v="0"/>
    <n v="2767.5795000000003"/>
    <n v="0"/>
    <n v="3035.8450284784499"/>
    <x v="1"/>
  </r>
  <r>
    <s v="Regular"/>
    <x v="0"/>
    <x v="0"/>
    <x v="0"/>
    <x v="1"/>
    <x v="0"/>
    <x v="0"/>
    <x v="0"/>
    <x v="8"/>
    <n v="0"/>
    <n v="0"/>
    <n v="13.53"/>
    <n v="13.53"/>
    <n v="13.53"/>
    <n v="13.53"/>
    <n v="34"/>
    <s v="CATIVO"/>
    <n v="0"/>
    <n v="0"/>
    <n v="2"/>
    <n v="72"/>
    <n v="0"/>
    <n v="170.76"/>
    <n v="46.15"/>
    <m/>
    <n v="197.19556189181066"/>
    <n v="40.749967156998508"/>
    <n v="0"/>
    <n v="5450.5605000000005"/>
    <n v="0"/>
    <n v="5978.8913006278644"/>
    <x v="1"/>
  </r>
  <r>
    <s v="Regular"/>
    <x v="0"/>
    <x v="0"/>
    <x v="0"/>
    <x v="1"/>
    <x v="0"/>
    <x v="0"/>
    <x v="0"/>
    <x v="9"/>
    <n v="0"/>
    <n v="0"/>
    <n v="19.29"/>
    <n v="19.29"/>
    <n v="19.29"/>
    <n v="19.29"/>
    <n v="56"/>
    <s v="CATIVO"/>
    <n v="0"/>
    <n v="0"/>
    <n v="2"/>
    <n v="72"/>
    <n v="0"/>
    <n v="170.76"/>
    <n v="46.15"/>
    <m/>
    <n v="197.19556189181066"/>
    <n v="40.749967156998508"/>
    <n v="0"/>
    <n v="7770.9764999999998"/>
    <n v="0"/>
    <n v="8524.2286170814114"/>
    <x v="1"/>
  </r>
  <r>
    <s v="Regular"/>
    <x v="0"/>
    <x v="0"/>
    <x v="0"/>
    <x v="1"/>
    <x v="0"/>
    <x v="0"/>
    <x v="0"/>
    <x v="10"/>
    <n v="0"/>
    <n v="0"/>
    <n v="20.91"/>
    <n v="20.91"/>
    <n v="20.91"/>
    <n v="20.91"/>
    <n v="69"/>
    <s v="CATIVO"/>
    <n v="0"/>
    <n v="0"/>
    <n v="2"/>
    <n v="72"/>
    <n v="0"/>
    <n v="170.76"/>
    <n v="46.15"/>
    <m/>
    <n v="197.19556189181066"/>
    <n v="40.749967156998508"/>
    <n v="0"/>
    <n v="8423.5935000000009"/>
    <n v="0"/>
    <n v="9240.1047373339716"/>
    <x v="1"/>
  </r>
  <r>
    <s v="Regular"/>
    <x v="0"/>
    <x v="0"/>
    <x v="0"/>
    <x v="1"/>
    <x v="0"/>
    <x v="0"/>
    <x v="0"/>
    <x v="11"/>
    <n v="0"/>
    <n v="0"/>
    <n v="21.87"/>
    <n v="21.87"/>
    <n v="21.87"/>
    <n v="21.87"/>
    <n v="71"/>
    <s v="CATIVO"/>
    <n v="0"/>
    <n v="0"/>
    <n v="2"/>
    <n v="72"/>
    <n v="0"/>
    <n v="170.76"/>
    <n v="46.15"/>
    <m/>
    <n v="197.19556189181066"/>
    <n v="40.749967156998508"/>
    <n v="0"/>
    <n v="8810.3295000000016"/>
    <n v="0"/>
    <n v="9664.3276234095647"/>
    <x v="1"/>
  </r>
  <r>
    <s v="Regular"/>
    <x v="0"/>
    <x v="0"/>
    <x v="0"/>
    <x v="2"/>
    <x v="0"/>
    <x v="0"/>
    <x v="0"/>
    <x v="0"/>
    <n v="0"/>
    <n v="0"/>
    <n v="8.2100000000000009"/>
    <n v="8.2100000000000009"/>
    <n v="8.2100000000000009"/>
    <n v="8.2100000000000009"/>
    <n v="13"/>
    <s v="CATIVO"/>
    <n v="0"/>
    <n v="0"/>
    <n v="13"/>
    <n v="69"/>
    <n v="0"/>
    <n v="292.74"/>
    <n v="79.12"/>
    <m/>
    <n v="338.04953467167542"/>
    <n v="69.85708655485459"/>
    <n v="0"/>
    <n v="2035.259"/>
    <n v="0"/>
    <n v="2232.6089068465417"/>
    <x v="1"/>
  </r>
  <r>
    <s v="Regular"/>
    <x v="0"/>
    <x v="0"/>
    <x v="0"/>
    <x v="2"/>
    <x v="0"/>
    <x v="0"/>
    <x v="0"/>
    <x v="1"/>
    <n v="0"/>
    <n v="0"/>
    <n v="8.6159999999999997"/>
    <n v="8.6159999999999997"/>
    <n v="8.6159999999999997"/>
    <n v="8.6159999999999997"/>
    <n v="13"/>
    <s v="CATIVO"/>
    <n v="0"/>
    <n v="0"/>
    <n v="13"/>
    <n v="69"/>
    <n v="0"/>
    <n v="292.74"/>
    <n v="79.12"/>
    <m/>
    <n v="338.04953467167542"/>
    <n v="69.85708655485459"/>
    <n v="0"/>
    <n v="2135.9063999999998"/>
    <n v="0"/>
    <n v="2343.0156323251886"/>
    <x v="1"/>
  </r>
  <r>
    <s v="Regular"/>
    <x v="0"/>
    <x v="0"/>
    <x v="0"/>
    <x v="2"/>
    <x v="0"/>
    <x v="0"/>
    <x v="0"/>
    <x v="2"/>
    <n v="0"/>
    <n v="0"/>
    <n v="8.3450000000000006"/>
    <n v="8.3450000000000006"/>
    <n v="8.3450000000000006"/>
    <n v="8.3450000000000006"/>
    <n v="15"/>
    <s v="CATIVO"/>
    <n v="0"/>
    <n v="0"/>
    <n v="13"/>
    <n v="69"/>
    <n v="0"/>
    <n v="292.74"/>
    <n v="79.12"/>
    <m/>
    <n v="338.04953467167542"/>
    <n v="69.85708655485459"/>
    <n v="0"/>
    <n v="2068.7255"/>
    <n v="0"/>
    <n v="2269.3205027569293"/>
    <x v="1"/>
  </r>
  <r>
    <s v="Regular"/>
    <x v="0"/>
    <x v="0"/>
    <x v="0"/>
    <x v="2"/>
    <x v="0"/>
    <x v="0"/>
    <x v="0"/>
    <x v="3"/>
    <n v="0"/>
    <n v="0"/>
    <n v="8.9440000000000008"/>
    <n v="8.9440000000000008"/>
    <n v="8.9440000000000008"/>
    <n v="8.9440000000000008"/>
    <n v="10"/>
    <s v="CATIVO"/>
    <n v="0"/>
    <n v="0"/>
    <n v="13"/>
    <n v="69"/>
    <n v="0"/>
    <n v="292.74"/>
    <n v="79.12"/>
    <m/>
    <n v="338.04953467167542"/>
    <n v="69.85708655485459"/>
    <n v="0"/>
    <n v="2217.2175999999999"/>
    <n v="0"/>
    <n v="2432.2112135000571"/>
    <x v="1"/>
  </r>
  <r>
    <s v="Regular"/>
    <x v="0"/>
    <x v="0"/>
    <x v="0"/>
    <x v="2"/>
    <x v="0"/>
    <x v="0"/>
    <x v="0"/>
    <x v="4"/>
    <n v="0"/>
    <n v="0"/>
    <n v="9.7840000000000007"/>
    <n v="9.7840000000000007"/>
    <n v="9.7840000000000007"/>
    <n v="9.7840000000000007"/>
    <n v="15"/>
    <s v="CATIVO"/>
    <n v="0"/>
    <n v="0"/>
    <n v="13"/>
    <n v="69"/>
    <n v="0"/>
    <n v="292.74"/>
    <n v="79.12"/>
    <m/>
    <n v="338.04953467167542"/>
    <n v="69.85708655485459"/>
    <n v="0"/>
    <n v="2425.4535999999998"/>
    <n v="0"/>
    <n v="2660.6389213869138"/>
    <x v="1"/>
  </r>
  <r>
    <s v="Regular"/>
    <x v="0"/>
    <x v="0"/>
    <x v="0"/>
    <x v="2"/>
    <x v="0"/>
    <x v="0"/>
    <x v="0"/>
    <x v="5"/>
    <n v="0"/>
    <n v="0"/>
    <n v="10.077999999999999"/>
    <n v="10.077999999999999"/>
    <n v="10.077999999999999"/>
    <n v="10.077999999999999"/>
    <n v="14"/>
    <s v="CATIVO"/>
    <n v="0"/>
    <n v="0"/>
    <n v="13"/>
    <n v="69"/>
    <n v="0"/>
    <n v="292.74"/>
    <n v="79.12"/>
    <m/>
    <n v="338.04953467167542"/>
    <n v="69.85708655485459"/>
    <n v="0"/>
    <n v="2498.3361999999997"/>
    <n v="0"/>
    <n v="2740.5886191473132"/>
    <x v="1"/>
  </r>
  <r>
    <s v="Regular"/>
    <x v="0"/>
    <x v="0"/>
    <x v="0"/>
    <x v="2"/>
    <x v="0"/>
    <x v="0"/>
    <x v="0"/>
    <x v="6"/>
    <n v="0"/>
    <n v="0"/>
    <n v="10.484999999999999"/>
    <n v="10.484999999999999"/>
    <n v="10.484999999999999"/>
    <n v="10.484999999999999"/>
    <n v="19"/>
    <s v="CATIVO"/>
    <n v="0"/>
    <n v="0"/>
    <n v="13"/>
    <n v="69"/>
    <n v="0"/>
    <n v="292.74"/>
    <n v="79.12"/>
    <m/>
    <n v="338.04953467167542"/>
    <n v="69.85708655485459"/>
    <n v="0"/>
    <n v="2599.2314999999994"/>
    <n v="0"/>
    <n v="2851.2672823734451"/>
    <x v="1"/>
  </r>
  <r>
    <s v="Regular"/>
    <x v="0"/>
    <x v="0"/>
    <x v="0"/>
    <x v="2"/>
    <x v="0"/>
    <x v="0"/>
    <x v="0"/>
    <x v="7"/>
    <n v="0"/>
    <n v="0"/>
    <n v="14.499000000000001"/>
    <n v="14.499000000000001"/>
    <n v="14.499000000000001"/>
    <n v="14.499000000000001"/>
    <n v="35"/>
    <s v="CATIVO"/>
    <n v="0"/>
    <n v="0"/>
    <n v="13"/>
    <n v="69"/>
    <n v="0"/>
    <n v="292.74"/>
    <n v="79.12"/>
    <m/>
    <n v="338.04953467167542"/>
    <n v="69.85708655485459"/>
    <n v="0"/>
    <n v="3594.3020999999999"/>
    <n v="0"/>
    <n v="3942.82540077564"/>
    <x v="1"/>
  </r>
  <r>
    <s v="Regular"/>
    <x v="0"/>
    <x v="0"/>
    <x v="0"/>
    <x v="2"/>
    <x v="0"/>
    <x v="0"/>
    <x v="0"/>
    <x v="8"/>
    <n v="0"/>
    <n v="0"/>
    <n v="26.244"/>
    <n v="26.244"/>
    <n v="26.244"/>
    <n v="26.244"/>
    <n v="109"/>
    <s v="CATIVO"/>
    <n v="0"/>
    <n v="0"/>
    <n v="13"/>
    <n v="69"/>
    <n v="0"/>
    <n v="292.74"/>
    <n v="79.12"/>
    <m/>
    <n v="338.04953467167542"/>
    <n v="69.85708655485459"/>
    <n v="0"/>
    <n v="6505.8875999999991"/>
    <n v="0"/>
    <n v="7136.7342449793705"/>
    <x v="1"/>
  </r>
  <r>
    <s v="Regular"/>
    <x v="0"/>
    <x v="0"/>
    <x v="0"/>
    <x v="2"/>
    <x v="0"/>
    <x v="0"/>
    <x v="0"/>
    <x v="9"/>
    <n v="0"/>
    <n v="0"/>
    <n v="36.750999999999998"/>
    <n v="36.750999999999998"/>
    <n v="36.750999999999998"/>
    <n v="36.750999999999998"/>
    <n v="150"/>
    <s v="CATIVO"/>
    <n v="0"/>
    <n v="0"/>
    <n v="13"/>
    <n v="69"/>
    <n v="0"/>
    <n v="292.74"/>
    <n v="79.12"/>
    <m/>
    <n v="338.04953467167542"/>
    <n v="69.85708655485459"/>
    <n v="0"/>
    <n v="9110.5728999999992"/>
    <n v="0"/>
    <n v="9993.9841577974712"/>
    <x v="1"/>
  </r>
  <r>
    <s v="Regular"/>
    <x v="0"/>
    <x v="0"/>
    <x v="0"/>
    <x v="2"/>
    <x v="0"/>
    <x v="0"/>
    <x v="0"/>
    <x v="10"/>
    <n v="0"/>
    <n v="0"/>
    <n v="38.4"/>
    <n v="38.4"/>
    <n v="38.4"/>
    <n v="38.4"/>
    <n v="175"/>
    <s v="CATIVO"/>
    <n v="0"/>
    <n v="0"/>
    <n v="13"/>
    <n v="69"/>
    <n v="0"/>
    <n v="292.74"/>
    <n v="79.12"/>
    <m/>
    <n v="338.04953467167542"/>
    <n v="69.85708655485459"/>
    <n v="0"/>
    <n v="9519.3599999999988"/>
    <n v="0"/>
    <n v="10442.409503399171"/>
    <x v="1"/>
  </r>
  <r>
    <s v="Regular"/>
    <x v="0"/>
    <x v="0"/>
    <x v="0"/>
    <x v="2"/>
    <x v="0"/>
    <x v="0"/>
    <x v="0"/>
    <x v="11"/>
    <n v="0"/>
    <n v="0"/>
    <n v="40.319000000000003"/>
    <n v="40.319000000000003"/>
    <n v="40.319000000000003"/>
    <n v="40.319000000000003"/>
    <n v="180"/>
    <s v="CATIVO"/>
    <n v="0"/>
    <n v="0"/>
    <n v="13"/>
    <n v="69"/>
    <n v="0"/>
    <n v="292.74"/>
    <n v="79.12"/>
    <m/>
    <n v="338.04953467167542"/>
    <n v="69.85708655485459"/>
    <n v="0"/>
    <n v="9995.0800999999992"/>
    <n v="0"/>
    <n v="10964.258040821645"/>
    <x v="1"/>
  </r>
  <r>
    <s v="Regular"/>
    <x v="0"/>
    <x v="0"/>
    <x v="0"/>
    <x v="3"/>
    <x v="0"/>
    <x v="0"/>
    <x v="0"/>
    <x v="0"/>
    <n v="0"/>
    <n v="0"/>
    <n v="8.4429999999999996"/>
    <n v="8.4429999999999996"/>
    <n v="8.4429999999999996"/>
    <n v="8.4429999999999996"/>
    <n v="70"/>
    <s v="CATIVO"/>
    <n v="0"/>
    <n v="0"/>
    <n v="4"/>
    <n v="60"/>
    <n v="0"/>
    <n v="439.1"/>
    <n v="118.68"/>
    <m/>
    <n v="507.07430200751315"/>
    <n v="104.78562983228188"/>
    <n v="0"/>
    <n v="523.29713999999967"/>
    <n v="0"/>
    <n v="573.99260050259875"/>
    <x v="1"/>
  </r>
  <r>
    <s v="Regular"/>
    <x v="0"/>
    <x v="0"/>
    <x v="0"/>
    <x v="3"/>
    <x v="0"/>
    <x v="0"/>
    <x v="0"/>
    <x v="1"/>
    <n v="0"/>
    <n v="0"/>
    <n v="9.3889999999999993"/>
    <n v="9.3889999999999993"/>
    <n v="9.3889999999999993"/>
    <n v="9.3889999999999993"/>
    <n v="72"/>
    <s v="CATIVO"/>
    <n v="0"/>
    <n v="0"/>
    <n v="4"/>
    <n v="60"/>
    <n v="0"/>
    <n v="439.1"/>
    <n v="118.68"/>
    <m/>
    <n v="507.07430200751315"/>
    <n v="104.78562983228188"/>
    <n v="0"/>
    <n v="581.93021999999962"/>
    <n v="0"/>
    <n v="638.30587778264828"/>
    <x v="1"/>
  </r>
  <r>
    <s v="Regular"/>
    <x v="0"/>
    <x v="0"/>
    <x v="0"/>
    <x v="3"/>
    <x v="0"/>
    <x v="0"/>
    <x v="0"/>
    <x v="2"/>
    <n v="0"/>
    <n v="0"/>
    <n v="8.8919999999999995"/>
    <n v="8.8919999999999995"/>
    <n v="8.8919999999999995"/>
    <n v="8.8919999999999995"/>
    <n v="70"/>
    <s v="CATIVO"/>
    <n v="0"/>
    <n v="0"/>
    <n v="4"/>
    <n v="60"/>
    <n v="0"/>
    <n v="439.1"/>
    <n v="118.68"/>
    <m/>
    <n v="507.07430200751315"/>
    <n v="104.78562983228188"/>
    <n v="0"/>
    <n v="551.12615999999957"/>
    <n v="0"/>
    <n v="604.51761265771745"/>
    <x v="1"/>
  </r>
  <r>
    <s v="Regular"/>
    <x v="0"/>
    <x v="0"/>
    <x v="0"/>
    <x v="3"/>
    <x v="0"/>
    <x v="0"/>
    <x v="0"/>
    <x v="3"/>
    <n v="0"/>
    <n v="0"/>
    <n v="10.034000000000001"/>
    <n v="10.034000000000001"/>
    <n v="10.034000000000001"/>
    <n v="10.034000000000001"/>
    <n v="78"/>
    <s v="CATIVO"/>
    <n v="0"/>
    <n v="0"/>
    <n v="4"/>
    <n v="60"/>
    <n v="0"/>
    <n v="439.1"/>
    <n v="118.68"/>
    <m/>
    <n v="507.07430200751315"/>
    <n v="104.78562983228188"/>
    <n v="0"/>
    <n v="621.90731999999969"/>
    <n v="0"/>
    <n v="682.15583956450041"/>
    <x v="1"/>
  </r>
  <r>
    <s v="Regular"/>
    <x v="0"/>
    <x v="0"/>
    <x v="0"/>
    <x v="3"/>
    <x v="0"/>
    <x v="0"/>
    <x v="0"/>
    <x v="4"/>
    <n v="0"/>
    <n v="0"/>
    <n v="10.375999999999999"/>
    <n v="10.375999999999999"/>
    <n v="10.375999999999999"/>
    <n v="10.375999999999999"/>
    <n v="88"/>
    <s v="CATIVO"/>
    <n v="0"/>
    <n v="0"/>
    <n v="4"/>
    <n v="60"/>
    <n v="0"/>
    <n v="439.1"/>
    <n v="118.68"/>
    <m/>
    <n v="507.07430200751315"/>
    <n v="104.78562983228188"/>
    <n v="0"/>
    <n v="643.10447999999951"/>
    <n v="0"/>
    <n v="705.40651697441251"/>
    <x v="1"/>
  </r>
  <r>
    <s v="Regular"/>
    <x v="0"/>
    <x v="0"/>
    <x v="0"/>
    <x v="3"/>
    <x v="0"/>
    <x v="0"/>
    <x v="0"/>
    <x v="5"/>
    <n v="0"/>
    <n v="0"/>
    <n v="9.7309999999999999"/>
    <n v="9.7309999999999999"/>
    <n v="9.7309999999999999"/>
    <n v="9.7309999999999999"/>
    <n v="105"/>
    <s v="CATIVO"/>
    <n v="0"/>
    <n v="0"/>
    <n v="4"/>
    <n v="60"/>
    <n v="0"/>
    <n v="439.1"/>
    <n v="118.68"/>
    <m/>
    <n v="507.07430200751315"/>
    <n v="104.78562983228188"/>
    <n v="0"/>
    <n v="603.12737999999956"/>
    <n v="0"/>
    <n v="661.55655519256061"/>
    <x v="1"/>
  </r>
  <r>
    <s v="Regular"/>
    <x v="0"/>
    <x v="0"/>
    <x v="0"/>
    <x v="3"/>
    <x v="0"/>
    <x v="0"/>
    <x v="0"/>
    <x v="6"/>
    <n v="0"/>
    <n v="0"/>
    <n v="11.601000000000001"/>
    <n v="11.601000000000001"/>
    <n v="11.601000000000001"/>
    <n v="11.601000000000001"/>
    <n v="86"/>
    <s v="CATIVO"/>
    <n v="0"/>
    <n v="0"/>
    <n v="4"/>
    <n v="60"/>
    <n v="0"/>
    <n v="439.1"/>
    <n v="118.68"/>
    <m/>
    <n v="507.07430200751315"/>
    <n v="104.78562983228188"/>
    <n v="0"/>
    <n v="719.02997999999957"/>
    <n v="0"/>
    <n v="788.68745214149578"/>
    <x v="1"/>
  </r>
  <r>
    <s v="Refaturamento - Regular"/>
    <x v="0"/>
    <x v="0"/>
    <x v="0"/>
    <x v="3"/>
    <x v="0"/>
    <x v="0"/>
    <x v="0"/>
    <x v="6"/>
    <n v="0"/>
    <n v="0"/>
    <n v="0.02"/>
    <n v="0.02"/>
    <n v="0.02"/>
    <n v="0.02"/>
    <n v="0"/>
    <s v="CATIVO"/>
    <n v="0"/>
    <n v="0"/>
    <n v="4"/>
    <n v="60"/>
    <n v="0"/>
    <n v="439.1"/>
    <n v="118.68"/>
    <m/>
    <n v="507.07430200751315"/>
    <n v="104.78562983228188"/>
    <n v="0"/>
    <n v="1.2395999999999991"/>
    <n v="0"/>
    <n v="1.3596887374217668"/>
    <x v="1"/>
  </r>
  <r>
    <s v="Regular"/>
    <x v="0"/>
    <x v="0"/>
    <x v="0"/>
    <x v="3"/>
    <x v="0"/>
    <x v="0"/>
    <x v="0"/>
    <x v="7"/>
    <n v="0"/>
    <n v="0"/>
    <n v="13.962"/>
    <n v="13.962"/>
    <n v="13.962"/>
    <n v="13.962"/>
    <n v="133"/>
    <s v="CATIVO"/>
    <n v="0"/>
    <n v="0"/>
    <n v="4"/>
    <n v="60"/>
    <n v="0"/>
    <n v="439.1"/>
    <n v="118.68"/>
    <m/>
    <n v="507.07430200751315"/>
    <n v="104.78562983228188"/>
    <n v="0"/>
    <n v="865.36475999999948"/>
    <n v="0"/>
    <n v="949.19870759413527"/>
    <x v="1"/>
  </r>
  <r>
    <s v="Regular"/>
    <x v="0"/>
    <x v="0"/>
    <x v="0"/>
    <x v="3"/>
    <x v="0"/>
    <x v="0"/>
    <x v="0"/>
    <x v="8"/>
    <n v="0"/>
    <n v="0"/>
    <n v="21.436"/>
    <n v="21.436"/>
    <n v="21.436"/>
    <n v="21.436"/>
    <n v="232"/>
    <s v="CATIVO"/>
    <n v="0"/>
    <n v="0"/>
    <n v="4"/>
    <n v="60"/>
    <n v="0"/>
    <n v="439.1"/>
    <n v="118.68"/>
    <m/>
    <n v="507.07430200751315"/>
    <n v="104.78562983228188"/>
    <n v="0"/>
    <n v="1328.6032799999991"/>
    <n v="0"/>
    <n v="1457.3143887686495"/>
    <x v="1"/>
  </r>
  <r>
    <s v="Regular"/>
    <x v="0"/>
    <x v="0"/>
    <x v="0"/>
    <x v="3"/>
    <x v="0"/>
    <x v="0"/>
    <x v="0"/>
    <x v="9"/>
    <n v="0"/>
    <n v="0"/>
    <n v="33.137999999999998"/>
    <n v="33.137999999999998"/>
    <n v="33.137999999999998"/>
    <n v="33.137999999999998"/>
    <n v="309"/>
    <s v="CATIVO"/>
    <n v="0"/>
    <n v="0"/>
    <n v="4"/>
    <n v="60"/>
    <n v="0"/>
    <n v="439.1"/>
    <n v="118.68"/>
    <m/>
    <n v="507.07430200751315"/>
    <n v="104.78562983228188"/>
    <n v="0"/>
    <n v="2053.8932399999985"/>
    <n v="0"/>
    <n v="2252.8682690341252"/>
    <x v="1"/>
  </r>
  <r>
    <s v="Regular"/>
    <x v="0"/>
    <x v="0"/>
    <x v="0"/>
    <x v="3"/>
    <x v="0"/>
    <x v="0"/>
    <x v="0"/>
    <x v="10"/>
    <n v="0"/>
    <n v="0"/>
    <n v="32.121000000000002"/>
    <n v="32.121000000000002"/>
    <n v="32.121000000000002"/>
    <n v="32.121000000000002"/>
    <n v="333"/>
    <s v="CATIVO"/>
    <n v="0"/>
    <n v="0"/>
    <n v="4"/>
    <n v="60"/>
    <n v="0"/>
    <n v="439.1"/>
    <n v="118.68"/>
    <m/>
    <n v="507.07430200751315"/>
    <n v="104.78562983228188"/>
    <n v="0"/>
    <n v="1990.8595799999989"/>
    <n v="0"/>
    <n v="2183.7280967362285"/>
    <x v="1"/>
  </r>
  <r>
    <s v="Regular"/>
    <x v="0"/>
    <x v="0"/>
    <x v="0"/>
    <x v="3"/>
    <x v="0"/>
    <x v="0"/>
    <x v="0"/>
    <x v="11"/>
    <n v="0"/>
    <n v="0"/>
    <n v="36.084000000000003"/>
    <n v="36.084000000000003"/>
    <n v="36.084000000000003"/>
    <n v="36.084000000000003"/>
    <n v="329"/>
    <s v="CATIVO"/>
    <n v="0"/>
    <n v="0"/>
    <n v="4"/>
    <n v="60"/>
    <n v="0"/>
    <n v="439.1"/>
    <n v="118.68"/>
    <m/>
    <n v="507.07430200751315"/>
    <n v="104.78562983228188"/>
    <n v="0"/>
    <n v="2236.4863199999986"/>
    <n v="0"/>
    <n v="2453.1504200563518"/>
    <x v="1"/>
  </r>
  <r>
    <s v="Regular"/>
    <x v="0"/>
    <x v="0"/>
    <x v="0"/>
    <x v="4"/>
    <x v="0"/>
    <x v="0"/>
    <x v="0"/>
    <x v="0"/>
    <n v="0"/>
    <n v="0"/>
    <n v="2.835"/>
    <n v="2.835"/>
    <n v="2.835"/>
    <n v="2.835"/>
    <n v="39"/>
    <s v="CATIVO"/>
    <n v="0"/>
    <n v="0"/>
    <n v="43"/>
    <n v="66"/>
    <n v="0"/>
    <n v="487.89"/>
    <n v="131.87"/>
    <m/>
    <n v="563.41589111945905"/>
    <n v="116.42847759142431"/>
    <n v="0"/>
    <n v="0"/>
    <n v="0"/>
    <n v="4.028777311759768E-14"/>
    <x v="1"/>
  </r>
  <r>
    <s v="Regular"/>
    <x v="0"/>
    <x v="0"/>
    <x v="0"/>
    <x v="4"/>
    <x v="0"/>
    <x v="0"/>
    <x v="0"/>
    <x v="1"/>
    <n v="0"/>
    <n v="0"/>
    <n v="3.5529999999999999"/>
    <n v="3.5529999999999999"/>
    <n v="3.5529999999999999"/>
    <n v="3.5529999999999999"/>
    <n v="44"/>
    <s v="CATIVO"/>
    <n v="0"/>
    <n v="0"/>
    <n v="43"/>
    <n v="66"/>
    <n v="0"/>
    <n v="487.89"/>
    <n v="131.87"/>
    <m/>
    <n v="563.41589111945905"/>
    <n v="116.42847759142431"/>
    <n v="0"/>
    <n v="0"/>
    <n v="0"/>
    <n v="5.0491166803112718E-14"/>
    <x v="1"/>
  </r>
  <r>
    <s v="Regular"/>
    <x v="0"/>
    <x v="0"/>
    <x v="0"/>
    <x v="4"/>
    <x v="0"/>
    <x v="0"/>
    <x v="0"/>
    <x v="2"/>
    <n v="0"/>
    <n v="0"/>
    <n v="2.9350000000000001"/>
    <n v="2.9350000000000001"/>
    <n v="2.9350000000000001"/>
    <n v="2.9350000000000001"/>
    <n v="41"/>
    <s v="CATIVO"/>
    <n v="0"/>
    <n v="0"/>
    <n v="43"/>
    <n v="66"/>
    <n v="0"/>
    <n v="487.89"/>
    <n v="131.87"/>
    <m/>
    <n v="563.41589111945905"/>
    <n v="116.42847759142431"/>
    <n v="0"/>
    <n v="0"/>
    <n v="0"/>
    <n v="4.1708858589117882E-14"/>
    <x v="1"/>
  </r>
  <r>
    <s v="Regular"/>
    <x v="0"/>
    <x v="0"/>
    <x v="0"/>
    <x v="4"/>
    <x v="0"/>
    <x v="0"/>
    <x v="0"/>
    <x v="3"/>
    <n v="0"/>
    <n v="0"/>
    <n v="3.6389999999999998"/>
    <n v="3.6389999999999998"/>
    <n v="3.6389999999999998"/>
    <n v="3.6389999999999998"/>
    <n v="43"/>
    <s v="CATIVO"/>
    <n v="0"/>
    <n v="0"/>
    <n v="43"/>
    <n v="66"/>
    <n v="0"/>
    <n v="487.89"/>
    <n v="131.87"/>
    <m/>
    <n v="563.41589111945905"/>
    <n v="116.42847759142431"/>
    <n v="0"/>
    <n v="0"/>
    <n v="0"/>
    <n v="5.1713300308620089E-14"/>
    <x v="1"/>
  </r>
  <r>
    <s v="Regular"/>
    <x v="0"/>
    <x v="0"/>
    <x v="0"/>
    <x v="4"/>
    <x v="0"/>
    <x v="0"/>
    <x v="0"/>
    <x v="4"/>
    <n v="0"/>
    <n v="0"/>
    <n v="3.077"/>
    <n v="3.077"/>
    <n v="3.077"/>
    <n v="3.077"/>
    <n v="42"/>
    <s v="CATIVO"/>
    <n v="0"/>
    <n v="0"/>
    <n v="43"/>
    <n v="66"/>
    <n v="0"/>
    <n v="487.89"/>
    <n v="131.87"/>
    <m/>
    <n v="563.41589111945905"/>
    <n v="116.42847759142431"/>
    <n v="0"/>
    <n v="0"/>
    <n v="0"/>
    <n v="4.3726799958676565E-14"/>
    <x v="1"/>
  </r>
  <r>
    <s v="Regular"/>
    <x v="0"/>
    <x v="0"/>
    <x v="0"/>
    <x v="4"/>
    <x v="0"/>
    <x v="0"/>
    <x v="0"/>
    <x v="5"/>
    <n v="0"/>
    <n v="0"/>
    <n v="2.1669999999999998"/>
    <n v="2.1669999999999998"/>
    <n v="2.1669999999999998"/>
    <n v="2.1669999999999998"/>
    <n v="30"/>
    <s v="CATIVO"/>
    <n v="0"/>
    <n v="0"/>
    <n v="43"/>
    <n v="66"/>
    <n v="0"/>
    <n v="487.89"/>
    <n v="131.87"/>
    <m/>
    <n v="563.41589111945905"/>
    <n v="116.42847759142431"/>
    <n v="0"/>
    <n v="0"/>
    <n v="0"/>
    <n v="3.0794922167842739E-14"/>
    <x v="1"/>
  </r>
  <r>
    <s v="Regular"/>
    <x v="0"/>
    <x v="0"/>
    <x v="0"/>
    <x v="4"/>
    <x v="0"/>
    <x v="0"/>
    <x v="0"/>
    <x v="6"/>
    <n v="0"/>
    <n v="0"/>
    <n v="3.621"/>
    <n v="3.621"/>
    <n v="3.621"/>
    <n v="3.621"/>
    <n v="51"/>
    <s v="CATIVO"/>
    <n v="0"/>
    <n v="0"/>
    <n v="43"/>
    <n v="66"/>
    <n v="0"/>
    <n v="487.89"/>
    <n v="131.87"/>
    <m/>
    <n v="563.41589111945905"/>
    <n v="116.42847759142431"/>
    <n v="0"/>
    <n v="0"/>
    <n v="0"/>
    <n v="5.1457504923746455E-14"/>
    <x v="1"/>
  </r>
  <r>
    <s v="Refaturamento - Regular"/>
    <x v="0"/>
    <x v="0"/>
    <x v="0"/>
    <x v="4"/>
    <x v="0"/>
    <x v="0"/>
    <x v="0"/>
    <x v="6"/>
    <n v="0"/>
    <n v="0"/>
    <n v="2.9000000000000001E-2"/>
    <n v="2.9000000000000001E-2"/>
    <n v="2.9000000000000001E-2"/>
    <n v="2.9000000000000001E-2"/>
    <n v="0"/>
    <s v="CATIVO"/>
    <n v="0"/>
    <n v="0"/>
    <n v="43"/>
    <n v="66"/>
    <n v="0"/>
    <n v="487.89"/>
    <n v="131.87"/>
    <m/>
    <n v="563.41589111945905"/>
    <n v="116.42847759142431"/>
    <n v="0"/>
    <n v="0"/>
    <n v="0"/>
    <n v="4.1211478674085813E-16"/>
    <x v="1"/>
  </r>
  <r>
    <s v="Regular"/>
    <x v="0"/>
    <x v="0"/>
    <x v="0"/>
    <x v="4"/>
    <x v="0"/>
    <x v="0"/>
    <x v="0"/>
    <x v="7"/>
    <n v="0"/>
    <n v="0"/>
    <n v="5.1289999999999996"/>
    <n v="5.1289999999999996"/>
    <n v="5.1289999999999996"/>
    <n v="5.1289999999999996"/>
    <n v="52"/>
    <s v="CATIVO"/>
    <n v="0"/>
    <n v="0"/>
    <n v="43"/>
    <n v="66"/>
    <n v="0"/>
    <n v="487.89"/>
    <n v="131.87"/>
    <m/>
    <n v="563.41589111945905"/>
    <n v="116.42847759142431"/>
    <n v="0"/>
    <n v="0"/>
    <n v="0"/>
    <n v="7.2887473834271071E-14"/>
    <x v="1"/>
  </r>
  <r>
    <s v="Regular"/>
    <x v="0"/>
    <x v="0"/>
    <x v="0"/>
    <x v="4"/>
    <x v="0"/>
    <x v="0"/>
    <x v="0"/>
    <x v="8"/>
    <n v="0"/>
    <n v="0"/>
    <n v="7.258"/>
    <n v="7.258"/>
    <n v="7.258"/>
    <n v="7.258"/>
    <n v="76"/>
    <s v="CATIVO"/>
    <n v="0"/>
    <n v="0"/>
    <n v="43"/>
    <n v="66"/>
    <n v="0"/>
    <n v="487.89"/>
    <n v="131.87"/>
    <m/>
    <n v="563.41589111945905"/>
    <n v="116.42847759142431"/>
    <n v="0"/>
    <n v="0"/>
    <n v="0"/>
    <n v="1.0314238352293614E-13"/>
    <x v="1"/>
  </r>
  <r>
    <s v="Regular"/>
    <x v="0"/>
    <x v="0"/>
    <x v="0"/>
    <x v="4"/>
    <x v="0"/>
    <x v="0"/>
    <x v="0"/>
    <x v="9"/>
    <n v="0"/>
    <n v="0"/>
    <n v="13.558"/>
    <n v="13.558"/>
    <n v="13.558"/>
    <n v="13.558"/>
    <n v="128"/>
    <s v="CATIVO"/>
    <n v="0"/>
    <n v="0"/>
    <n v="43"/>
    <n v="66"/>
    <n v="0"/>
    <n v="487.89"/>
    <n v="131.87"/>
    <m/>
    <n v="563.41589111945905"/>
    <n v="116.42847759142431"/>
    <n v="0"/>
    <n v="0"/>
    <n v="0"/>
    <n v="1.9267076822870876E-13"/>
    <x v="1"/>
  </r>
  <r>
    <s v="Regular"/>
    <x v="0"/>
    <x v="0"/>
    <x v="0"/>
    <x v="4"/>
    <x v="0"/>
    <x v="0"/>
    <x v="0"/>
    <x v="10"/>
    <n v="0"/>
    <n v="0"/>
    <n v="12.082000000000001"/>
    <n v="12.082000000000001"/>
    <n v="12.082000000000001"/>
    <n v="12.082000000000001"/>
    <n v="120"/>
    <s v="CATIVO"/>
    <n v="0"/>
    <n v="0"/>
    <n v="43"/>
    <n v="66"/>
    <n v="0"/>
    <n v="487.89"/>
    <n v="131.87"/>
    <m/>
    <n v="563.41589111945905"/>
    <n v="116.42847759142431"/>
    <n v="0"/>
    <n v="0"/>
    <n v="0"/>
    <n v="1.7169554666907062E-13"/>
    <x v="1"/>
  </r>
  <r>
    <s v="Regular"/>
    <x v="0"/>
    <x v="0"/>
    <x v="0"/>
    <x v="4"/>
    <x v="0"/>
    <x v="0"/>
    <x v="0"/>
    <x v="11"/>
    <n v="0"/>
    <n v="0"/>
    <n v="15.427"/>
    <n v="15.427"/>
    <n v="15.427"/>
    <n v="15.427"/>
    <n v="149"/>
    <s v="CATIVO"/>
    <n v="0"/>
    <n v="0"/>
    <n v="43"/>
    <n v="66"/>
    <n v="0"/>
    <n v="487.89"/>
    <n v="131.87"/>
    <m/>
    <n v="563.41589111945905"/>
    <n v="116.42847759142431"/>
    <n v="0"/>
    <n v="0"/>
    <n v="0"/>
    <n v="2.1923085569142131E-13"/>
    <x v="1"/>
  </r>
  <r>
    <s v="Regular"/>
    <x v="1"/>
    <x v="0"/>
    <x v="1"/>
    <x v="5"/>
    <x v="0"/>
    <x v="0"/>
    <x v="0"/>
    <x v="0"/>
    <n v="0"/>
    <n v="0"/>
    <n v="54.207999999999998"/>
    <n v="54.207999999999998"/>
    <n v="54.207999999999998"/>
    <n v="54.207999999999998"/>
    <n v="41"/>
    <s v="CATIVO"/>
    <n v="0"/>
    <n v="0"/>
    <n v="51"/>
    <n v="44"/>
    <n v="0"/>
    <n v="490.02"/>
    <n v="116.05"/>
    <m/>
    <n v="629.87923328312354"/>
    <n v="109.44276893593884"/>
    <n v="0"/>
    <n v="4479.7491200000031"/>
    <n v="0"/>
    <n v="2558.1170486994242"/>
    <x v="2"/>
  </r>
  <r>
    <s v="Regular"/>
    <x v="1"/>
    <x v="0"/>
    <x v="1"/>
    <x v="5"/>
    <x v="0"/>
    <x v="0"/>
    <x v="0"/>
    <x v="1"/>
    <n v="0"/>
    <n v="0"/>
    <n v="59.506"/>
    <n v="59.506"/>
    <n v="59.506"/>
    <n v="59.506"/>
    <n v="41"/>
    <s v="CATIVO"/>
    <n v="0"/>
    <n v="0"/>
    <n v="51"/>
    <n v="44"/>
    <n v="0"/>
    <n v="490.02"/>
    <n v="116.05"/>
    <m/>
    <n v="629.87923328312354"/>
    <n v="109.44276893593884"/>
    <n v="0"/>
    <n v="4917.5758400000032"/>
    <n v="0"/>
    <n v="2808.1337274923985"/>
    <x v="2"/>
  </r>
  <r>
    <s v="Regular"/>
    <x v="1"/>
    <x v="0"/>
    <x v="1"/>
    <x v="5"/>
    <x v="0"/>
    <x v="0"/>
    <x v="0"/>
    <x v="2"/>
    <n v="0"/>
    <n v="0"/>
    <n v="56.250999999999998"/>
    <n v="56.250999999999998"/>
    <n v="56.250999999999998"/>
    <n v="56.250999999999998"/>
    <n v="42"/>
    <s v="CATIVO"/>
    <n v="0"/>
    <n v="0"/>
    <n v="51"/>
    <n v="44"/>
    <n v="0"/>
    <n v="490.02"/>
    <n v="116.05"/>
    <m/>
    <n v="629.87923328312354"/>
    <n v="109.44276893593884"/>
    <n v="0"/>
    <n v="4648.5826400000033"/>
    <n v="0"/>
    <n v="2654.5277838398633"/>
    <x v="2"/>
  </r>
  <r>
    <s v="Regular"/>
    <x v="1"/>
    <x v="0"/>
    <x v="1"/>
    <x v="5"/>
    <x v="0"/>
    <x v="0"/>
    <x v="0"/>
    <x v="3"/>
    <n v="0"/>
    <n v="0"/>
    <n v="56.595999999999997"/>
    <n v="56.595999999999997"/>
    <n v="56.595999999999997"/>
    <n v="56.595999999999997"/>
    <n v="42"/>
    <s v="CATIVO"/>
    <n v="0"/>
    <n v="0"/>
    <n v="51"/>
    <n v="44"/>
    <n v="0"/>
    <n v="490.02"/>
    <n v="116.05"/>
    <m/>
    <n v="629.87923328312354"/>
    <n v="109.44276893593884"/>
    <n v="0"/>
    <n v="4677.0934400000033"/>
    <n v="0"/>
    <n v="2670.808598144049"/>
    <x v="2"/>
  </r>
  <r>
    <s v="Regular"/>
    <x v="1"/>
    <x v="0"/>
    <x v="1"/>
    <x v="5"/>
    <x v="0"/>
    <x v="0"/>
    <x v="0"/>
    <x v="4"/>
    <n v="0"/>
    <n v="0"/>
    <n v="53.649000000000001"/>
    <n v="53.649000000000001"/>
    <n v="53.649000000000001"/>
    <n v="53.649000000000001"/>
    <n v="42"/>
    <s v="CATIVO"/>
    <n v="0"/>
    <n v="0"/>
    <n v="51"/>
    <n v="44"/>
    <n v="0"/>
    <n v="490.02"/>
    <n v="116.05"/>
    <m/>
    <n v="629.87923328312354"/>
    <n v="109.44276893593884"/>
    <n v="0"/>
    <n v="4433.5533600000035"/>
    <n v="0"/>
    <n v="2531.7374104500336"/>
    <x v="2"/>
  </r>
  <r>
    <s v="Regular"/>
    <x v="1"/>
    <x v="0"/>
    <x v="1"/>
    <x v="5"/>
    <x v="0"/>
    <x v="0"/>
    <x v="0"/>
    <x v="5"/>
    <n v="0"/>
    <n v="0"/>
    <n v="56.908999999999999"/>
    <n v="56.908999999999999"/>
    <n v="56.908999999999999"/>
    <n v="56.908999999999999"/>
    <n v="42"/>
    <s v="CATIVO"/>
    <n v="0"/>
    <n v="0"/>
    <n v="51"/>
    <n v="44"/>
    <n v="0"/>
    <n v="490.02"/>
    <n v="116.05"/>
    <m/>
    <n v="629.87923328312354"/>
    <n v="109.44276893593884"/>
    <n v="0"/>
    <n v="4702.9597600000034"/>
    <n v="0"/>
    <n v="2685.5793079330642"/>
    <x v="2"/>
  </r>
  <r>
    <s v="Regular"/>
    <x v="1"/>
    <x v="0"/>
    <x v="1"/>
    <x v="5"/>
    <x v="0"/>
    <x v="0"/>
    <x v="0"/>
    <x v="6"/>
    <n v="0"/>
    <n v="0"/>
    <n v="59.033999999999999"/>
    <n v="59.033999999999999"/>
    <n v="59.033999999999999"/>
    <n v="59.033999999999999"/>
    <n v="38"/>
    <s v="CATIVO"/>
    <n v="0"/>
    <n v="0"/>
    <n v="51"/>
    <n v="44"/>
    <n v="0"/>
    <n v="490.02"/>
    <n v="116.05"/>
    <m/>
    <n v="629.87923328312354"/>
    <n v="109.44276893593884"/>
    <n v="0"/>
    <n v="4878.569760000003"/>
    <n v="0"/>
    <n v="2785.8596858936285"/>
    <x v="2"/>
  </r>
  <r>
    <s v="Regular"/>
    <x v="1"/>
    <x v="0"/>
    <x v="1"/>
    <x v="5"/>
    <x v="0"/>
    <x v="0"/>
    <x v="0"/>
    <x v="7"/>
    <n v="0"/>
    <n v="0"/>
    <n v="61.593000000000004"/>
    <n v="61.593000000000004"/>
    <n v="61.593000000000004"/>
    <n v="61.593000000000004"/>
    <n v="37"/>
    <s v="CATIVO"/>
    <n v="0"/>
    <n v="0"/>
    <n v="51"/>
    <n v="44"/>
    <n v="0"/>
    <n v="490.02"/>
    <n v="116.05"/>
    <m/>
    <n v="629.87923328312354"/>
    <n v="109.44276893593884"/>
    <n v="0"/>
    <n v="5090.0455200000042"/>
    <n v="0"/>
    <n v="2906.6208563411979"/>
    <x v="2"/>
  </r>
  <r>
    <s v="Sistema de Compensação"/>
    <x v="1"/>
    <x v="0"/>
    <x v="1"/>
    <x v="5"/>
    <x v="0"/>
    <x v="0"/>
    <x v="0"/>
    <x v="7"/>
    <n v="0"/>
    <n v="0"/>
    <n v="0.122"/>
    <n v="0.122"/>
    <n v="0.122"/>
    <n v="0.122"/>
    <n v="1"/>
    <s v="CATIVO"/>
    <n v="0"/>
    <n v="0"/>
    <n v="51"/>
    <n v="44"/>
    <n v="0"/>
    <n v="490.02"/>
    <n v="116.05"/>
    <m/>
    <n v="629.87923328312354"/>
    <n v="109.44276893593884"/>
    <n v="0"/>
    <n v="10.082080000000007"/>
    <n v="0"/>
    <n v="5.7572734640888754"/>
    <x v="2"/>
  </r>
  <r>
    <s v="Regular"/>
    <x v="1"/>
    <x v="0"/>
    <x v="1"/>
    <x v="5"/>
    <x v="0"/>
    <x v="0"/>
    <x v="0"/>
    <x v="8"/>
    <n v="0"/>
    <n v="0"/>
    <n v="53.148000000000003"/>
    <n v="53.148000000000003"/>
    <n v="53.148000000000003"/>
    <n v="53.148000000000003"/>
    <n v="36"/>
    <s v="CATIVO"/>
    <n v="0"/>
    <n v="0"/>
    <n v="51"/>
    <n v="44"/>
    <n v="0"/>
    <n v="490.02"/>
    <n v="116.05"/>
    <m/>
    <n v="629.87923328312354"/>
    <n v="109.44276893593884"/>
    <n v="0"/>
    <n v="4392.1507200000033"/>
    <n v="0"/>
    <n v="2508.09483663439"/>
    <x v="2"/>
  </r>
  <r>
    <s v="Sistema de Compensação"/>
    <x v="1"/>
    <x v="0"/>
    <x v="1"/>
    <x v="5"/>
    <x v="0"/>
    <x v="0"/>
    <x v="0"/>
    <x v="8"/>
    <n v="0"/>
    <n v="0"/>
    <n v="0.35099999999999998"/>
    <n v="0.35099999999999998"/>
    <n v="0.35099999999999998"/>
    <n v="0.35099999999999998"/>
    <n v="2"/>
    <s v="CATIVO"/>
    <n v="0"/>
    <n v="0"/>
    <n v="51"/>
    <n v="44"/>
    <n v="0"/>
    <n v="490.02"/>
    <n v="116.05"/>
    <m/>
    <n v="629.87923328312354"/>
    <n v="109.44276893593884"/>
    <n v="0"/>
    <n v="29.006640000000019"/>
    <n v="0"/>
    <n v="16.563958900780289"/>
    <x v="2"/>
  </r>
  <r>
    <s v="Regular"/>
    <x v="1"/>
    <x v="0"/>
    <x v="1"/>
    <x v="5"/>
    <x v="0"/>
    <x v="0"/>
    <x v="0"/>
    <x v="9"/>
    <n v="0"/>
    <n v="0"/>
    <n v="53.484000000000002"/>
    <n v="53.484000000000002"/>
    <n v="53.484000000000002"/>
    <n v="53.484000000000002"/>
    <n v="36"/>
    <s v="CATIVO"/>
    <n v="0"/>
    <n v="0"/>
    <n v="51"/>
    <n v="44"/>
    <n v="0"/>
    <n v="490.02"/>
    <n v="116.05"/>
    <m/>
    <n v="629.87923328312354"/>
    <n v="109.44276893593884"/>
    <n v="0"/>
    <n v="4419.917760000003"/>
    <n v="0"/>
    <n v="2523.9509340436839"/>
    <x v="2"/>
  </r>
  <r>
    <s v="Sistema de Compensação"/>
    <x v="1"/>
    <x v="0"/>
    <x v="1"/>
    <x v="5"/>
    <x v="0"/>
    <x v="0"/>
    <x v="0"/>
    <x v="9"/>
    <n v="0"/>
    <n v="0"/>
    <n v="0.42"/>
    <n v="0.42"/>
    <n v="0.42"/>
    <n v="0.42"/>
    <n v="2"/>
    <s v="CATIVO"/>
    <n v="0"/>
    <n v="0"/>
    <n v="51"/>
    <n v="44"/>
    <n v="0"/>
    <n v="490.02"/>
    <n v="116.05"/>
    <m/>
    <n v="629.87923328312354"/>
    <n v="109.44276893593884"/>
    <n v="0"/>
    <n v="34.708800000000025"/>
    <n v="0"/>
    <n v="19.82012176161744"/>
    <x v="2"/>
  </r>
  <r>
    <s v="Regular"/>
    <x v="1"/>
    <x v="0"/>
    <x v="1"/>
    <x v="5"/>
    <x v="0"/>
    <x v="0"/>
    <x v="0"/>
    <x v="10"/>
    <n v="0"/>
    <n v="0"/>
    <n v="53.984999999999999"/>
    <n v="53.984999999999999"/>
    <n v="53.984999999999999"/>
    <n v="53.984999999999999"/>
    <n v="35"/>
    <s v="CATIVO"/>
    <n v="0"/>
    <n v="0"/>
    <n v="51"/>
    <n v="44"/>
    <n v="0"/>
    <n v="490.02"/>
    <n v="116.05"/>
    <m/>
    <n v="629.87923328312354"/>
    <n v="109.44276893593884"/>
    <n v="0"/>
    <n v="4461.3204000000032"/>
    <n v="0"/>
    <n v="2547.5935078593275"/>
    <x v="2"/>
  </r>
  <r>
    <s v="Sistema de Compensação"/>
    <x v="1"/>
    <x v="0"/>
    <x v="1"/>
    <x v="5"/>
    <x v="0"/>
    <x v="0"/>
    <x v="0"/>
    <x v="10"/>
    <n v="0"/>
    <n v="0"/>
    <n v="0.63"/>
    <n v="0.63"/>
    <n v="0.63"/>
    <n v="0.63"/>
    <n v="3"/>
    <s v="CATIVO"/>
    <n v="0"/>
    <n v="0"/>
    <n v="51"/>
    <n v="44"/>
    <n v="0"/>
    <n v="490.02"/>
    <n v="116.05"/>
    <m/>
    <n v="629.87923328312354"/>
    <n v="109.44276893593884"/>
    <n v="0"/>
    <n v="52.063200000000037"/>
    <n v="0"/>
    <n v="29.730182642426161"/>
    <x v="2"/>
  </r>
  <r>
    <s v="Regular"/>
    <x v="1"/>
    <x v="0"/>
    <x v="1"/>
    <x v="5"/>
    <x v="0"/>
    <x v="0"/>
    <x v="0"/>
    <x v="11"/>
    <n v="0"/>
    <n v="0"/>
    <n v="54.271000000000001"/>
    <n v="54.271000000000001"/>
    <n v="54.271000000000001"/>
    <n v="54.271000000000001"/>
    <n v="35"/>
    <s v="CATIVO"/>
    <n v="0"/>
    <n v="0"/>
    <n v="51"/>
    <n v="44"/>
    <n v="0"/>
    <n v="490.02"/>
    <n v="116.05"/>
    <m/>
    <n v="629.87923328312354"/>
    <n v="109.44276893593884"/>
    <n v="0"/>
    <n v="4484.9554400000034"/>
    <n v="0"/>
    <n v="2561.0900669636671"/>
    <x v="2"/>
  </r>
  <r>
    <s v="Sistema de Compensação"/>
    <x v="1"/>
    <x v="0"/>
    <x v="1"/>
    <x v="5"/>
    <x v="0"/>
    <x v="0"/>
    <x v="0"/>
    <x v="11"/>
    <n v="0"/>
    <n v="0"/>
    <n v="0.56699999999999995"/>
    <n v="0.56699999999999995"/>
    <n v="0.56699999999999995"/>
    <n v="0.56699999999999995"/>
    <n v="3"/>
    <s v="CATIVO"/>
    <n v="0"/>
    <n v="0"/>
    <n v="51"/>
    <n v="44"/>
    <n v="0"/>
    <n v="490.02"/>
    <n v="116.05"/>
    <m/>
    <n v="629.87923328312354"/>
    <n v="109.44276893593884"/>
    <n v="0"/>
    <n v="46.856880000000025"/>
    <n v="0"/>
    <n v="26.757164378183543"/>
    <x v="2"/>
  </r>
  <r>
    <s v="Regular"/>
    <x v="2"/>
    <x v="0"/>
    <x v="2"/>
    <x v="6"/>
    <x v="0"/>
    <x v="0"/>
    <x v="0"/>
    <x v="0"/>
    <n v="0"/>
    <n v="0"/>
    <n v="5.45"/>
    <n v="5.1230000000000002"/>
    <n v="5.45"/>
    <n v="5.1230000000000002"/>
    <n v="1"/>
    <s v="CATIVO"/>
    <n v="0"/>
    <n v="0"/>
    <n v="40"/>
    <n v="83"/>
    <n v="0"/>
    <n v="556.84"/>
    <n v="131.87"/>
    <m/>
    <n v="670.0842907267272"/>
    <n v="116.42847759142431"/>
    <n v="0"/>
    <n v="225.20816999999997"/>
    <n v="0"/>
    <n v="257.18967524003551"/>
    <x v="3"/>
  </r>
  <r>
    <s v="Regular"/>
    <x v="2"/>
    <x v="0"/>
    <x v="2"/>
    <x v="6"/>
    <x v="0"/>
    <x v="0"/>
    <x v="0"/>
    <x v="1"/>
    <n v="0"/>
    <n v="0"/>
    <n v="6.55"/>
    <n v="6.1569999999999991"/>
    <n v="6.55"/>
    <n v="6.1569999999999991"/>
    <n v="1"/>
    <s v="CATIVO"/>
    <n v="0"/>
    <n v="0"/>
    <n v="40"/>
    <n v="83"/>
    <n v="0"/>
    <n v="556.84"/>
    <n v="131.87"/>
    <m/>
    <n v="670.0842907267272"/>
    <n v="116.42847759142431"/>
    <n v="0"/>
    <n v="270.6630300000005"/>
    <n v="0"/>
    <n v="309.09951794903407"/>
    <x v="3"/>
  </r>
  <r>
    <s v="Regular"/>
    <x v="2"/>
    <x v="0"/>
    <x v="2"/>
    <x v="6"/>
    <x v="0"/>
    <x v="0"/>
    <x v="0"/>
    <x v="2"/>
    <n v="0"/>
    <n v="0"/>
    <n v="6.35"/>
    <n v="5.9690000000000003"/>
    <n v="6.35"/>
    <n v="5.9690000000000003"/>
    <n v="1"/>
    <s v="CATIVO"/>
    <n v="0"/>
    <n v="0"/>
    <n v="40"/>
    <n v="83"/>
    <n v="0"/>
    <n v="556.84"/>
    <n v="131.87"/>
    <m/>
    <n v="670.0842907267272"/>
    <n v="116.42847759142431"/>
    <n v="0"/>
    <n v="262.39850999999953"/>
    <n v="0"/>
    <n v="299.66136472921522"/>
    <x v="3"/>
  </r>
  <r>
    <s v="Regular"/>
    <x v="2"/>
    <x v="0"/>
    <x v="2"/>
    <x v="6"/>
    <x v="0"/>
    <x v="0"/>
    <x v="0"/>
    <x v="3"/>
    <n v="0"/>
    <n v="0"/>
    <n v="7.25"/>
    <n v="6.8150000000000004"/>
    <n v="7.25"/>
    <n v="6.8150000000000004"/>
    <n v="1"/>
    <s v="CATIVO"/>
    <n v="0"/>
    <n v="0"/>
    <n v="40"/>
    <n v="83"/>
    <n v="0"/>
    <n v="556.84"/>
    <n v="131.87"/>
    <m/>
    <n v="670.0842907267272"/>
    <n v="116.42847759142431"/>
    <n v="0"/>
    <n v="299.58884999999975"/>
    <n v="0"/>
    <n v="342.13305421839561"/>
    <x v="3"/>
  </r>
  <r>
    <s v="Regular"/>
    <x v="2"/>
    <x v="0"/>
    <x v="2"/>
    <x v="6"/>
    <x v="0"/>
    <x v="0"/>
    <x v="0"/>
    <x v="4"/>
    <n v="0"/>
    <n v="0"/>
    <n v="7.2"/>
    <n v="6.7679999999999998"/>
    <n v="7.2"/>
    <n v="6.7679999999999998"/>
    <n v="1"/>
    <s v="CATIVO"/>
    <n v="0"/>
    <n v="0"/>
    <n v="40"/>
    <n v="83"/>
    <n v="0"/>
    <n v="556.84"/>
    <n v="131.87"/>
    <m/>
    <n v="670.0842907267272"/>
    <n v="116.42847759142431"/>
    <n v="0"/>
    <n v="297.52272000000028"/>
    <n v="0"/>
    <n v="339.77351591344177"/>
    <x v="3"/>
  </r>
  <r>
    <s v="Regular"/>
    <x v="2"/>
    <x v="0"/>
    <x v="2"/>
    <x v="6"/>
    <x v="0"/>
    <x v="0"/>
    <x v="0"/>
    <x v="5"/>
    <n v="0"/>
    <n v="0"/>
    <n v="6.25"/>
    <n v="5.875"/>
    <n v="6.25"/>
    <n v="5.875"/>
    <n v="1"/>
    <s v="CATIVO"/>
    <n v="0"/>
    <n v="0"/>
    <n v="40"/>
    <n v="83"/>
    <n v="0"/>
    <n v="556.84"/>
    <n v="131.87"/>
    <m/>
    <n v="670.0842907267272"/>
    <n v="116.42847759142431"/>
    <n v="0"/>
    <n v="258.26625000000001"/>
    <n v="0"/>
    <n v="294.9422881193068"/>
    <x v="3"/>
  </r>
  <r>
    <s v="Regular"/>
    <x v="2"/>
    <x v="0"/>
    <x v="2"/>
    <x v="6"/>
    <x v="0"/>
    <x v="0"/>
    <x v="0"/>
    <x v="6"/>
    <n v="0"/>
    <n v="0"/>
    <n v="7.6"/>
    <n v="7.1440000000000001"/>
    <n v="7.6"/>
    <n v="7.1440000000000001"/>
    <n v="1"/>
    <s v="CATIVO"/>
    <n v="0"/>
    <n v="0"/>
    <n v="40"/>
    <n v="83"/>
    <n v="0"/>
    <n v="556.84"/>
    <n v="131.87"/>
    <m/>
    <n v="670.0842907267272"/>
    <n v="116.42847759142431"/>
    <n v="0"/>
    <n v="314.05175999999966"/>
    <n v="0"/>
    <n v="358.64982235307673"/>
    <x v="3"/>
  </r>
  <r>
    <s v="Regular"/>
    <x v="2"/>
    <x v="0"/>
    <x v="2"/>
    <x v="6"/>
    <x v="0"/>
    <x v="0"/>
    <x v="0"/>
    <x v="7"/>
    <n v="0"/>
    <n v="0"/>
    <n v="7.3"/>
    <n v="6.8620000000000001"/>
    <n v="7.3"/>
    <n v="6.8620000000000001"/>
    <n v="1"/>
    <s v="CATIVO"/>
    <n v="0"/>
    <n v="0"/>
    <n v="40"/>
    <n v="83"/>
    <n v="0"/>
    <n v="556.84"/>
    <n v="131.87"/>
    <m/>
    <n v="670.0842907267272"/>
    <n v="116.42847759142431"/>
    <n v="0"/>
    <n v="301.6549799999998"/>
    <n v="0"/>
    <n v="344.49259252335014"/>
    <x v="3"/>
  </r>
  <r>
    <s v="Regular"/>
    <x v="2"/>
    <x v="0"/>
    <x v="2"/>
    <x v="6"/>
    <x v="0"/>
    <x v="0"/>
    <x v="0"/>
    <x v="8"/>
    <n v="0"/>
    <n v="0"/>
    <n v="4.0999999999999996"/>
    <n v="3.8540000000000001"/>
    <n v="4.0999999999999996"/>
    <n v="3.8540000000000001"/>
    <n v="1"/>
    <s v="CATIVO"/>
    <n v="0"/>
    <n v="0"/>
    <n v="40"/>
    <n v="83"/>
    <n v="0"/>
    <n v="556.84"/>
    <n v="131.87"/>
    <m/>
    <n v="670.0842907267272"/>
    <n v="116.42847759142431"/>
    <n v="0"/>
    <n v="169.42265999999969"/>
    <n v="0"/>
    <n v="193.4821410062649"/>
    <x v="3"/>
  </r>
  <r>
    <s v="Regular"/>
    <x v="2"/>
    <x v="0"/>
    <x v="2"/>
    <x v="6"/>
    <x v="0"/>
    <x v="0"/>
    <x v="0"/>
    <x v="9"/>
    <n v="0"/>
    <n v="0"/>
    <n v="8.6999999999999993"/>
    <n v="8.1780000000000008"/>
    <n v="8.6999999999999993"/>
    <n v="8.1780000000000008"/>
    <n v="1"/>
    <s v="CATIVO"/>
    <n v="0"/>
    <n v="0"/>
    <n v="40"/>
    <n v="83"/>
    <n v="0"/>
    <n v="556.84"/>
    <n v="131.87"/>
    <m/>
    <n v="670.0842907267272"/>
    <n v="116.42847759142431"/>
    <n v="0"/>
    <n v="359.50661999999897"/>
    <n v="0"/>
    <n v="410.55966506207392"/>
    <x v="3"/>
  </r>
  <r>
    <s v="Regular"/>
    <x v="2"/>
    <x v="0"/>
    <x v="2"/>
    <x v="6"/>
    <x v="0"/>
    <x v="0"/>
    <x v="0"/>
    <x v="10"/>
    <n v="0"/>
    <n v="0"/>
    <n v="8.9"/>
    <n v="8.3659999999999997"/>
    <n v="8.9"/>
    <n v="8.3659999999999997"/>
    <n v="1"/>
    <s v="CATIVO"/>
    <n v="0"/>
    <n v="0"/>
    <n v="40"/>
    <n v="83"/>
    <n v="0"/>
    <n v="556.84"/>
    <n v="131.87"/>
    <m/>
    <n v="670.0842907267272"/>
    <n v="116.42847759142431"/>
    <n v="0"/>
    <n v="367.77114000000046"/>
    <n v="0"/>
    <n v="419.99781828189344"/>
    <x v="3"/>
  </r>
  <r>
    <s v="Regular"/>
    <x v="2"/>
    <x v="0"/>
    <x v="2"/>
    <x v="6"/>
    <x v="0"/>
    <x v="0"/>
    <x v="0"/>
    <x v="11"/>
    <n v="0"/>
    <n v="0"/>
    <n v="8.65"/>
    <n v="8.1310000000000002"/>
    <n v="8.65"/>
    <n v="8.1310000000000002"/>
    <n v="1"/>
    <s v="CATIVO"/>
    <n v="0"/>
    <n v="0"/>
    <n v="40"/>
    <n v="83"/>
    <n v="0"/>
    <n v="556.84"/>
    <n v="131.87"/>
    <m/>
    <n v="670.0842907267272"/>
    <n v="116.42847759142431"/>
    <n v="0"/>
    <n v="357.44049000000012"/>
    <n v="0"/>
    <n v="408.2001267571207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E8F3F-0640-403E-AFDE-9D2E780C154B}" name="Efeito Resum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J290" firstHeaderRow="0" firstDataRow="1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8">
        <item x="0"/>
        <item x="6"/>
        <item x="1"/>
        <item x="4"/>
        <item x="2"/>
        <item x="3"/>
        <item x="5"/>
        <item t="default"/>
      </items>
    </pivotField>
    <pivotField axis="axisRow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289">
    <i>
      <x/>
    </i>
    <i r="1">
      <x/>
    </i>
    <i r="2">
      <x v="2"/>
    </i>
    <i r="3">
      <x/>
    </i>
    <i r="4">
      <x v="2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2"/>
    </i>
    <i r="4">
      <x v="2"/>
    </i>
    <i r="5">
      <x/>
    </i>
    <i r="6">
      <x/>
    </i>
    <i r="7">
      <x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3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1"/>
    </i>
    <i r="2">
      <x/>
    </i>
    <i r="3">
      <x v="4"/>
    </i>
    <i r="4">
      <x v="3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7">
      <x v="3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2">
      <x v="1"/>
    </i>
    <i r="3">
      <x v="4"/>
    </i>
    <i r="4">
      <x v="3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2"/>
    </i>
    <i r="2">
      <x v="1"/>
    </i>
    <i r="3">
      <x v="5"/>
    </i>
    <i r="4">
      <x v="2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3"/>
    </i>
    <i r="2">
      <x v="1"/>
    </i>
    <i r="3">
      <x/>
    </i>
    <i r="4">
      <x v="2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2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6"/>
    </i>
    <i r="4">
      <x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4"/>
    </i>
    <i r="2">
      <x v="1"/>
    </i>
    <i r="3">
      <x v="1"/>
    </i>
    <i r="4">
      <x v="1"/>
    </i>
    <i r="5">
      <x/>
    </i>
    <i r="6">
      <x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6"/>
    <dataField name="Soma de Variação TE" fld="34" baseField="0" baseItem="0" numFmtId="166"/>
    <dataField name="Soma de Variação" fld="35" baseField="0" baseItem="0" numFmtId="166"/>
  </dataFields>
  <formats count="172">
    <format dxfId="415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41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3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412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16" type="button" dataOnly="0" labelOnly="1" outline="0" axis="axisRow" fieldPosition="0"/>
    </format>
    <format dxfId="408">
      <pivotArea dataOnly="0" labelOnly="1" fieldPosition="0">
        <references count="1">
          <reference field="16" count="0"/>
        </references>
      </pivotArea>
    </format>
    <format dxfId="407">
      <pivotArea dataOnly="0" labelOnly="1" fieldPosition="0">
        <references count="2">
          <reference field="1" count="0"/>
          <reference field="16" count="0" selected="0"/>
        </references>
      </pivotArea>
    </format>
    <format dxfId="406">
      <pivotArea dataOnly="0" labelOnly="1" fieldPosition="0">
        <references count="3">
          <reference field="1" count="1" selected="0">
            <x v="0"/>
          </reference>
          <reference field="2" count="1">
            <x v="2"/>
          </reference>
          <reference field="16" count="0" selected="0"/>
        </references>
      </pivotArea>
    </format>
    <format dxfId="405">
      <pivotArea dataOnly="0" labelOnly="1" fieldPosition="0">
        <references count="3">
          <reference field="1" count="1" selected="0">
            <x v="1"/>
          </reference>
          <reference field="2" count="2">
            <x v="0"/>
            <x v="1"/>
          </reference>
          <reference field="16" count="0" selected="0"/>
        </references>
      </pivotArea>
    </format>
    <format dxfId="404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403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402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401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2">
            <x v="0"/>
            <x v="2"/>
          </reference>
          <reference field="16" count="0" selected="0"/>
        </references>
      </pivotArea>
    </format>
    <format dxfId="400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3" count="1">
            <x v="4"/>
          </reference>
          <reference field="16" count="0" selected="0"/>
        </references>
      </pivotArea>
    </format>
    <format dxfId="399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398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97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3">
            <x v="0"/>
            <x v="3"/>
            <x v="6"/>
          </reference>
          <reference field="16" count="0" selected="0"/>
        </references>
      </pivotArea>
    </format>
    <format dxfId="396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395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94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93">
      <pivotArea dataOnly="0" labelOnly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392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91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390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89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388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387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386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85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84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383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382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381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380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379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378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7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6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75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374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373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72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71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370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369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368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367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366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365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4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3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362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361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360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59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358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3">
            <x v="0"/>
            <x v="1"/>
            <x v="3"/>
          </reference>
          <reference field="16" count="0" selected="0"/>
        </references>
      </pivotArea>
    </format>
    <format dxfId="357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6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5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4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2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1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50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49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48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347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346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45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344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43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42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3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341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0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340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1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339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3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338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7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6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5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4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3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2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1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30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29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32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16" type="button" dataOnly="0" labelOnly="1" outline="0" axis="axisRow" fieldPosition="0"/>
    </format>
    <format dxfId="324">
      <pivotArea dataOnly="0" labelOnly="1" fieldPosition="0">
        <references count="1">
          <reference field="16" count="0"/>
        </references>
      </pivotArea>
    </format>
    <format dxfId="323">
      <pivotArea dataOnly="0" labelOnly="1" fieldPosition="0">
        <references count="2">
          <reference field="1" count="0"/>
          <reference field="16" count="0" selected="0"/>
        </references>
      </pivotArea>
    </format>
    <format dxfId="322">
      <pivotArea dataOnly="0" labelOnly="1" fieldPosition="0">
        <references count="3">
          <reference field="1" count="1" selected="0">
            <x v="0"/>
          </reference>
          <reference field="2" count="1">
            <x v="2"/>
          </reference>
          <reference field="16" count="0" selected="0"/>
        </references>
      </pivotArea>
    </format>
    <format dxfId="321">
      <pivotArea dataOnly="0" labelOnly="1" fieldPosition="0">
        <references count="3">
          <reference field="1" count="1" selected="0">
            <x v="1"/>
          </reference>
          <reference field="2" count="2">
            <x v="0"/>
            <x v="1"/>
          </reference>
          <reference field="16" count="0" selected="0"/>
        </references>
      </pivotArea>
    </format>
    <format dxfId="320">
      <pivotArea dataOnly="0" labelOnly="1" fieldPosition="0">
        <references count="3">
          <reference field="1" count="1" selected="0">
            <x v="2"/>
          </reference>
          <reference field="2" count="1">
            <x v="1"/>
          </reference>
          <reference field="16" count="0" selected="0"/>
        </references>
      </pivotArea>
    </format>
    <format dxfId="319">
      <pivotArea dataOnly="0" labelOnly="1" fieldPosition="0">
        <references count="3">
          <reference field="1" count="1" selected="0">
            <x v="3"/>
          </reference>
          <reference field="2" count="1">
            <x v="1"/>
          </reference>
          <reference field="16" count="0" selected="0"/>
        </references>
      </pivotArea>
    </format>
    <format dxfId="318">
      <pivotArea dataOnly="0" labelOnly="1" fieldPosition="0">
        <references count="3">
          <reference field="1" count="1" selected="0">
            <x v="4"/>
          </reference>
          <reference field="2" count="1">
            <x v="1"/>
          </reference>
          <reference field="16" count="0" selected="0"/>
        </references>
      </pivotArea>
    </format>
    <format dxfId="317">
      <pivotArea dataOnly="0" labelOnly="1" fieldPosition="0">
        <references count="4">
          <reference field="1" count="1" selected="0">
            <x v="0"/>
          </reference>
          <reference field="2" count="1" selected="0">
            <x v="2"/>
          </reference>
          <reference field="3" count="2">
            <x v="0"/>
            <x v="2"/>
          </reference>
          <reference field="16" count="0" selected="0"/>
        </references>
      </pivotArea>
    </format>
    <format dxfId="316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3" count="1">
            <x v="4"/>
          </reference>
          <reference field="16" count="0" selected="0"/>
        </references>
      </pivotArea>
    </format>
    <format dxfId="315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>
            <x v="4"/>
          </reference>
          <reference field="16" count="0" selected="0"/>
        </references>
      </pivotArea>
    </format>
    <format dxfId="314">
      <pivotArea dataOnly="0" labelOnly="1" fieldPosition="0">
        <references count="4">
          <reference field="1" count="1" selected="0">
            <x v="2"/>
          </reference>
          <reference field="2" count="1" selected="0">
            <x v="1"/>
          </reference>
          <reference field="3" count="1">
            <x v="5"/>
          </reference>
          <reference field="16" count="0" selected="0"/>
        </references>
      </pivotArea>
    </format>
    <format dxfId="313">
      <pivotArea dataOnly="0" labelOnly="1" fieldPosition="0">
        <references count="4">
          <reference field="1" count="1" selected="0">
            <x v="3"/>
          </reference>
          <reference field="2" count="1" selected="0">
            <x v="1"/>
          </reference>
          <reference field="3" count="3">
            <x v="0"/>
            <x v="3"/>
            <x v="6"/>
          </reference>
          <reference field="16" count="0" selected="0"/>
        </references>
      </pivotArea>
    </format>
    <format dxfId="312">
      <pivotArea dataOnly="0" labelOnly="1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  <reference field="16" count="0" selected="0"/>
        </references>
      </pivotArea>
    </format>
    <format dxfId="311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10">
      <pivotArea dataOnly="0" labelOnly="1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309">
      <pivotArea dataOnly="0" labelOnly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>
            <x v="3"/>
          </reference>
          <reference field="16" count="0" selected="0"/>
        </references>
      </pivotArea>
    </format>
    <format dxfId="308">
      <pivotArea dataOnly="0" labelOnly="1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307">
      <pivotArea dataOnly="0" labelOnly="1" fieldPosition="0">
        <references count="5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2"/>
          </reference>
          <reference field="16" count="0" selected="0"/>
        </references>
      </pivotArea>
    </format>
    <format dxfId="306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305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304">
      <pivotArea dataOnly="0" labelOnly="1" fieldPosition="0">
        <references count="5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0"/>
          </reference>
          <reference field="16" count="0" selected="0"/>
        </references>
      </pivotArea>
    </format>
    <format dxfId="303">
      <pivotArea dataOnly="0" labelOnly="1" fieldPosition="0">
        <references count="5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302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01">
      <pivotArea dataOnly="0" labelOnly="1" fieldPosition="0">
        <references count="6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300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299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/>
          <reference field="16" count="0" selected="0"/>
        </references>
      </pivotArea>
    </format>
    <format dxfId="298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/>
          <reference field="16" count="0" selected="0"/>
        </references>
      </pivotArea>
    </format>
    <format dxfId="297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  <reference field="16" count="0" selected="0"/>
        </references>
      </pivotArea>
    </format>
    <format dxfId="296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/>
          <reference field="16" count="0" selected="0"/>
        </references>
      </pivotArea>
    </format>
    <format dxfId="295">
      <pivotArea dataOnly="0" labelOnly="1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/>
          <reference field="16" count="0" selected="0"/>
        </references>
      </pivotArea>
    </format>
    <format dxfId="294">
      <pivotArea dataOnly="0" labelOnly="1" fieldPosition="0">
        <references count="6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3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2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  <reference field="16" count="0" selected="0"/>
        </references>
      </pivotArea>
    </format>
    <format dxfId="291">
      <pivotArea dataOnly="0" labelOnly="1" fieldPosition="0">
        <references count="6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/>
          <reference field="16" count="0" selected="0"/>
        </references>
      </pivotArea>
    </format>
    <format dxfId="290">
      <pivotArea dataOnly="0" labelOnly="1" fieldPosition="0">
        <references count="6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16" count="0" selected="0"/>
        </references>
      </pivotArea>
    </format>
    <format dxfId="289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8">
      <pivotArea dataOnly="0" labelOnly="1" fieldPosition="0">
        <references count="7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7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286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/>
          <reference field="16" count="0" selected="0"/>
        </references>
      </pivotArea>
    </format>
    <format dxfId="285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/>
          <reference field="16" count="0" selected="0"/>
        </references>
      </pivotArea>
    </format>
    <format dxfId="284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/>
          <reference field="16" count="0" selected="0"/>
        </references>
      </pivotArea>
    </format>
    <format dxfId="283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/>
          <reference field="16" count="0" selected="0"/>
        </references>
      </pivotArea>
    </format>
    <format dxfId="282">
      <pivotArea dataOnly="0" labelOnly="1" fieldPosition="0">
        <references count="7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/>
          <reference field="16" count="0" selected="0"/>
        </references>
      </pivotArea>
    </format>
    <format dxfId="281">
      <pivotArea dataOnly="0" labelOnly="1" fieldPosition="0">
        <references count="7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80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9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/>
          <reference field="16" count="0" selected="0"/>
        </references>
      </pivotArea>
    </format>
    <format dxfId="278">
      <pivotArea dataOnly="0" labelOnly="1" fieldPosition="0">
        <references count="7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/>
          <reference field="16" count="0" selected="0"/>
        </references>
      </pivotArea>
    </format>
    <format dxfId="277">
      <pivotArea dataOnly="0" labelOnly="1" fieldPosition="0">
        <references count="7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16" count="0" selected="0"/>
        </references>
      </pivotArea>
    </format>
    <format dxfId="276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275">
      <pivotArea dataOnly="0" labelOnly="1" fieldPosition="0">
        <references count="8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3">
            <x v="0"/>
            <x v="2"/>
            <x v="3"/>
          </reference>
          <reference field="16" count="0" selected="0"/>
        </references>
      </pivotArea>
    </format>
    <format dxfId="274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3">
            <x v="0"/>
            <x v="1"/>
            <x v="3"/>
          </reference>
          <reference field="16" count="0" selected="0"/>
        </references>
      </pivotArea>
    </format>
    <format dxfId="273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72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71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70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9">
      <pivotArea dataOnly="0" labelOnly="1" fieldPosition="0">
        <references count="8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8">
      <pivotArea dataOnly="0" labelOnly="1" fieldPosition="0">
        <references count="8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7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6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5">
      <pivotArea dataOnly="0" labelOnly="1" fieldPosition="0">
        <references count="8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4">
      <pivotArea dataOnly="0" labelOnly="1" fieldPosition="0">
        <references count="8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>
            <x v="2"/>
          </reference>
          <reference field="16" count="0" selected="0"/>
        </references>
      </pivotArea>
    </format>
    <format dxfId="263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262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61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3"/>
          </reference>
          <reference field="8" count="0"/>
          <reference field="16" count="0" selected="0"/>
        </references>
      </pivotArea>
    </format>
    <format dxfId="260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0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9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8">
      <pivotArea dataOnly="0" labelOnly="1" fieldPosition="0">
        <references count="9">
          <reference field="1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3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  <reference field="16" count="0" selected="0"/>
        </references>
      </pivotArea>
    </format>
    <format dxfId="257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0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256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1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255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3"/>
          </reference>
          <reference field="8" count="9">
            <x v="0"/>
            <x v="1"/>
            <x v="2"/>
            <x v="3"/>
            <x v="4"/>
            <x v="5"/>
            <x v="6"/>
            <x v="7"/>
            <x v="8"/>
          </reference>
          <reference field="16" count="0" selected="0"/>
        </references>
      </pivotArea>
    </format>
    <format dxfId="254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53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52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51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50">
      <pivotArea dataOnly="0" labelOnly="1" fieldPosition="0">
        <references count="9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7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9">
      <pivotArea dataOnly="0" labelOnly="1" fieldPosition="0">
        <references count="9"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8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7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6">
      <pivotArea dataOnly="0" labelOnly="1" fieldPosition="0">
        <references count="9"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5">
      <pivotArea dataOnly="0" labelOnly="1" fieldPosition="0">
        <references count="9"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24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71FB6-E3C3-4D57-8E71-13F12F712F20}" name="Subsidio Resumo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G118" firstHeaderRow="0" firstDataRow="1" firstDataCol="1"/>
  <pivotFields count="3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6"/>
        <item x="5"/>
        <item x="0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5">
        <item x="3"/>
        <item x="1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117">
    <i>
      <x/>
    </i>
    <i r="1">
      <x v="2"/>
    </i>
    <i r="2">
      <x/>
    </i>
    <i r="3">
      <x v="2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/>
    </i>
    <i r="2">
      <x/>
    </i>
    <i r="3">
      <x/>
    </i>
    <i r="4">
      <x v="3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2"/>
    </i>
    <i r="1">
      <x v="1"/>
    </i>
    <i r="2">
      <x/>
    </i>
    <i r="3">
      <x v="1"/>
    </i>
    <i r="4">
      <x v="1"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3"/>
    </i>
    <i r="1">
      <x/>
    </i>
    <i r="2">
      <x/>
    </i>
    <i r="3">
      <x/>
    </i>
    <i r="4">
      <x v="2"/>
    </i>
    <i r="5">
      <x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00">
    <format dxfId="243">
      <pivotArea outline="0" collapsedLevelsAreSubtotals="1" fieldPosition="0"/>
    </format>
    <format dxfId="24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31" type="button" dataOnly="0" labelOnly="1" outline="0" axis="axisRow" fieldPosition="0"/>
    </format>
    <format dxfId="238">
      <pivotArea dataOnly="0" labelOnly="1" fieldPosition="0">
        <references count="1">
          <reference field="31" count="0"/>
        </references>
      </pivotArea>
    </format>
    <format dxfId="237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236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235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234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233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232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231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230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229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228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227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226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225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224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223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222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221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220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21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218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217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216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21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214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213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2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1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1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209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208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207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20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4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3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20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201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200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19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9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9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9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95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19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9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31" type="button" dataOnly="0" labelOnly="1" outline="0" axis="axisRow" fieldPosition="0"/>
    </format>
    <format dxfId="189">
      <pivotArea dataOnly="0" labelOnly="1" fieldPosition="0">
        <references count="1">
          <reference field="31" count="0"/>
        </references>
      </pivotArea>
    </format>
    <format dxfId="188">
      <pivotArea dataOnly="0" labelOnly="1" fieldPosition="0">
        <references count="2">
          <reference field="1" count="1">
            <x v="2"/>
          </reference>
          <reference field="31" count="1" selected="0">
            <x v="0"/>
          </reference>
        </references>
      </pivotArea>
    </format>
    <format dxfId="187">
      <pivotArea dataOnly="0" labelOnly="1" fieldPosition="0">
        <references count="2">
          <reference field="1" count="1">
            <x v="0"/>
          </reference>
          <reference field="31" count="1" selected="0">
            <x v="1"/>
          </reference>
        </references>
      </pivotArea>
    </format>
    <format dxfId="186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185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184">
      <pivotArea dataOnly="0" labelOnly="1" fieldPosition="0">
        <references count="3">
          <reference field="1" count="1" selected="0">
            <x v="2"/>
          </reference>
          <reference field="2" count="0"/>
          <reference field="31" count="1" selected="0">
            <x v="0"/>
          </reference>
        </references>
      </pivotArea>
    </format>
    <format dxfId="183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1"/>
          </reference>
        </references>
      </pivotArea>
    </format>
    <format dxfId="182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181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180">
      <pivotArea dataOnly="0" labelOnly="1" fieldPosition="0">
        <references count="4">
          <reference field="1" count="1" selected="0">
            <x v="2"/>
          </reference>
          <reference field="2" count="0" selected="0"/>
          <reference field="3" count="1">
            <x v="2"/>
          </reference>
          <reference field="31" count="1" selected="0">
            <x v="0"/>
          </reference>
        </references>
      </pivotArea>
    </format>
    <format dxfId="179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1"/>
          </reference>
        </references>
      </pivotArea>
    </format>
    <format dxfId="178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177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176">
      <pivotArea dataOnly="0" labelOnly="1" fieldPosition="0">
        <references count="5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>
            <x v="0"/>
          </reference>
          <reference field="31" count="1" selected="0">
            <x v="0"/>
          </reference>
        </references>
      </pivotArea>
    </format>
    <format dxfId="175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174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1"/>
          </reference>
          <reference field="31" count="1" selected="0">
            <x v="2"/>
          </reference>
        </references>
      </pivotArea>
    </format>
    <format dxfId="173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172">
      <pivotArea dataOnly="0" labelOnly="1" fieldPosition="0">
        <references count="6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/>
          <reference field="31" count="1" selected="0">
            <x v="0"/>
          </reference>
        </references>
      </pivotArea>
    </format>
    <format dxfId="171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/>
          <reference field="31" count="1" selected="0">
            <x v="1"/>
          </reference>
        </references>
      </pivotArea>
    </format>
    <format dxfId="170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/>
          <reference field="31" count="1" selected="0">
            <x v="1"/>
          </reference>
        </references>
      </pivotArea>
    </format>
    <format dxfId="16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/>
          <reference field="31" count="1" selected="0">
            <x v="1"/>
          </reference>
        </references>
      </pivotArea>
    </format>
    <format dxfId="168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/>
          <reference field="31" count="1" selected="0">
            <x v="1"/>
          </reference>
        </references>
      </pivotArea>
    </format>
    <format dxfId="167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/>
          <reference field="31" count="1" selected="0">
            <x v="2"/>
          </reference>
        </references>
      </pivotArea>
    </format>
    <format dxfId="166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/>
          <reference field="31" count="1" selected="0">
            <x v="3"/>
          </reference>
        </references>
      </pivotArea>
    </format>
    <format dxfId="165">
      <pivotArea dataOnly="0" labelOnly="1" fieldPosition="0">
        <references count="7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/>
          <reference field="31" count="1" selected="0">
            <x v="0"/>
          </reference>
        </references>
      </pivotArea>
    </format>
    <format dxfId="16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3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2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1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/>
          <reference field="31" count="1" selected="0">
            <x v="1"/>
          </reference>
        </references>
      </pivotArea>
    </format>
    <format dxfId="160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/>
          <reference field="31" count="1" selected="0">
            <x v="2"/>
          </reference>
        </references>
      </pivotArea>
    </format>
    <format dxfId="159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/>
          <reference field="31" count="1" selected="0">
            <x v="3"/>
          </reference>
        </references>
      </pivotArea>
    </format>
    <format dxfId="158">
      <pivotArea dataOnly="0" labelOnly="1" fieldPosition="0">
        <references count="8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/>
          <reference field="31" count="1" selected="0">
            <x v="0"/>
          </reference>
        </references>
      </pivotArea>
    </format>
    <format dxfId="15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4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/>
          <reference field="31" count="1" selected="0">
            <x v="1"/>
          </reference>
        </references>
      </pivotArea>
    </format>
    <format dxfId="15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/>
          <reference field="31" count="1" selected="0">
            <x v="2"/>
          </reference>
        </references>
      </pivotArea>
    </format>
    <format dxfId="15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/>
          <reference field="31" count="1" selected="0">
            <x v="3"/>
          </reference>
        </references>
      </pivotArea>
    </format>
    <format dxfId="151">
      <pivotArea dataOnly="0" labelOnly="1" fieldPosition="0">
        <references count="9">
          <reference field="1" count="1" selected="0">
            <x v="2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15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146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0" selected="0"/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14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0" selected="0"/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14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C9FBD11-3A7C-4B45-AE18-5B23CF796AD5}" autoFormatId="0" applyNumberFormats="0" applyBorderFormats="0" applyFontFormats="1" applyPatternFormats="1" applyAlignmentFormats="0" applyWidthHeightFormats="0">
  <queryTableRefresh nextId="44">
    <queryTableFields count="43">
      <queryTableField id="1" name="SUBGRUPO" tableColumnId="44"/>
      <queryTableField id="2" name="MODALIDADE" tableColumnId="45"/>
      <queryTableField id="3" name="CLASSE" tableColumnId="46"/>
      <queryTableField id="4" name="SUBCLASSE" tableColumnId="47"/>
      <queryTableField id="5" name="DETALHE" tableColumnId="48"/>
      <queryTableField id="6" name="POSTO" tableColumnId="49"/>
      <queryTableField id="7" name="UNIDADE" tableColumnId="50"/>
      <queryTableField id="8" name="ACESSANTE" tableColumnId="51"/>
      <queryTableField id="9" name="Total TUSD" tableColumnId="52"/>
      <queryTableField id="10" name="Total TE" tableColumnId="53"/>
      <queryTableField id="11" name="TUSD_CDE_COVID" tableColumnId="54"/>
      <queryTableField id="12" name="TUSD_TFSEE" tableColumnId="55"/>
      <queryTableField id="13" name="TUSD_PeD" tableColumnId="56"/>
      <queryTableField id="14" name="TUSD_ONS" tableColumnId="57"/>
      <queryTableField id="15" name="TUSD_CCC" tableColumnId="58"/>
      <queryTableField id="16" name="TUSD_CDE" tableColumnId="59"/>
      <queryTableField id="17" name="TUSD_PROINFA" tableColumnId="60"/>
      <queryTableField id="18" name="Liminar1" tableColumnId="61"/>
      <queryTableField id="19" name="TUSD_RB" tableColumnId="62"/>
      <queryTableField id="20" name="TUSD_FR" tableColumnId="63"/>
      <queryTableField id="21" name="TUSD_CCT" tableColumnId="64"/>
      <queryTableField id="22" name="TUSD_CCD" tableColumnId="65"/>
      <queryTableField id="23" name="TUSD_CUSD" tableColumnId="66"/>
      <queryTableField id="24" name="TUSDG_T" tableColumnId="67"/>
      <queryTableField id="25" name="TUSDG_ONS" tableColumnId="68"/>
      <queryTableField id="26" name="TUSD_FioB" tableColumnId="69"/>
      <queryTableField id="27" name="TUSD Subsidio" tableColumnId="70"/>
      <queryTableField id="28" name="TUSD Outros" tableColumnId="71"/>
      <queryTableField id="29" name="TUSD_PT" tableColumnId="72"/>
      <queryTableField id="30" name="TUSD_Per_RB_D" tableColumnId="73"/>
      <queryTableField id="31" name="TUSD_PNT" tableColumnId="74"/>
      <queryTableField id="32" name="TUSD_RI" tableColumnId="75"/>
      <queryTableField id="33" name="TE_CDE_COVID" tableColumnId="76"/>
      <queryTableField id="34" name="TE_CDE_ELET" tableColumnId="77"/>
      <queryTableField id="35" name="TE_PeD" tableColumnId="78"/>
      <queryTableField id="36" name="TE_ESSERR" tableColumnId="79"/>
      <queryTableField id="37" name="TE_CFURH" tableColumnId="80"/>
      <queryTableField id="38" name="TE_ENERGIA" tableColumnId="81"/>
      <queryTableField id="39" name="TE_TRANSPORTE_ITAIPU" tableColumnId="82"/>
      <queryTableField id="40" name="TE_TUST_ITAIPU" tableColumnId="83"/>
      <queryTableField id="41" name="TE_TUST_CI" tableColumnId="84"/>
      <queryTableField id="42" name="TE Subsidio" tableColumnId="85"/>
      <queryTableField id="43" name="TE_Per_RB" tableColumnId="8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513356-C0EC-4A3D-9C46-89E61A313963}" autoFormatId="0" applyNumberFormats="0" applyBorderFormats="0" applyFontFormats="1" applyPatternFormats="1" applyAlignmentFormats="0" applyWidthHeightFormats="0">
  <queryTableRefresh nextId="44">
    <queryTableFields count="43">
      <queryTableField id="1" name="SUBGRUPO" tableColumnId="44"/>
      <queryTableField id="2" name="MODALIDADE" tableColumnId="45"/>
      <queryTableField id="3" name="CLASSE" tableColumnId="46"/>
      <queryTableField id="4" name="SUBCLASSE" tableColumnId="47"/>
      <queryTableField id="5" name="DETALHE" tableColumnId="48"/>
      <queryTableField id="6" name="POSTO" tableColumnId="49"/>
      <queryTableField id="7" name="UNIDADE" tableColumnId="50"/>
      <queryTableField id="8" name="ACESSANTE" tableColumnId="51"/>
      <queryTableField id="9" name="Total TUSD" tableColumnId="52"/>
      <queryTableField id="10" name="Total TE" tableColumnId="53"/>
      <queryTableField id="11" name="TUSD_CDE_COVID" tableColumnId="54"/>
      <queryTableField id="12" name="TUSD_TFSEE" tableColumnId="55"/>
      <queryTableField id="13" name="TUSD_PeD" tableColumnId="56"/>
      <queryTableField id="14" name="TUSD_ONS" tableColumnId="57"/>
      <queryTableField id="15" name="TUSD_CCC" tableColumnId="58"/>
      <queryTableField id="16" name="TUSD_CDE" tableColumnId="59"/>
      <queryTableField id="17" name="TUSD_PROINFA" tableColumnId="60"/>
      <queryTableField id="18" name="Liminar1" tableColumnId="61"/>
      <queryTableField id="19" name="TUSD_RB" tableColumnId="62"/>
      <queryTableField id="20" name="TUSD_FR" tableColumnId="63"/>
      <queryTableField id="21" name="TUSD_CCT" tableColumnId="64"/>
      <queryTableField id="22" name="TUSD_CCD" tableColumnId="65"/>
      <queryTableField id="23" name="TUSD_CUSD" tableColumnId="66"/>
      <queryTableField id="24" name="TUSDG_T" tableColumnId="67"/>
      <queryTableField id="25" name="TUSDG_ONS" tableColumnId="68"/>
      <queryTableField id="26" name="TUSD_FioB" tableColumnId="69"/>
      <queryTableField id="27" name="TUSD Subsidio" tableColumnId="70"/>
      <queryTableField id="28" name="TUSD Outros" tableColumnId="71"/>
      <queryTableField id="29" name="TUSD_PT" tableColumnId="72"/>
      <queryTableField id="30" name="TUSD_Per_RB_D" tableColumnId="73"/>
      <queryTableField id="31" name="TUSD_PNT" tableColumnId="74"/>
      <queryTableField id="32" name="TUSD_RI" tableColumnId="75"/>
      <queryTableField id="33" name="TE_CDE_COVID" tableColumnId="76"/>
      <queryTableField id="34" name="TE_CDE_ELET" tableColumnId="77"/>
      <queryTableField id="35" name="TE_PeD" tableColumnId="78"/>
      <queryTableField id="36" name="TE_ESSERR" tableColumnId="79"/>
      <queryTableField id="37" name="TE_CFURH" tableColumnId="80"/>
      <queryTableField id="38" name="TE_ENERGIA" tableColumnId="81"/>
      <queryTableField id="39" name="TE_TRANSPORTE_ITAIPU" tableColumnId="82"/>
      <queryTableField id="40" name="TE_TUST_ITAIPU" tableColumnId="83"/>
      <queryTableField id="41" name="TE_TUST_CI" tableColumnId="84"/>
      <queryTableField id="42" name="TE Subsidio" tableColumnId="85"/>
      <queryTableField id="43" name="TE_Per_RB" tableColumnId="8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B55A057-B3B1-4E95-97D8-C8993AB69880}" autoFormatId="0" applyNumberFormats="0" applyBorderFormats="0" applyFontFormats="1" applyPatternFormats="1" applyAlignmentFormats="0" applyWidthHeightFormats="0">
  <queryTableRefresh nextId="44">
    <queryTableFields count="43">
      <queryTableField id="1" name="SUBGRUPO" tableColumnId="44"/>
      <queryTableField id="2" name="MODALIDADE" tableColumnId="45"/>
      <queryTableField id="3" name="CLASSE" tableColumnId="46"/>
      <queryTableField id="4" name="SUBCLASSE" tableColumnId="47"/>
      <queryTableField id="5" name="DETALHE" tableColumnId="48"/>
      <queryTableField id="6" name="POSTO" tableColumnId="49"/>
      <queryTableField id="7" name="UNIDADE" tableColumnId="50"/>
      <queryTableField id="8" name="ACESSANTE" tableColumnId="51"/>
      <queryTableField id="9" name="Total TUSD" tableColumnId="52"/>
      <queryTableField id="10" name="Total TE" tableColumnId="53"/>
      <queryTableField id="11" name="TUSD_CDE_COVID" tableColumnId="54"/>
      <queryTableField id="12" name="TUSD_TFSEE" tableColumnId="55"/>
      <queryTableField id="13" name="TUSD_PeD" tableColumnId="56"/>
      <queryTableField id="14" name="TUSD_ONS" tableColumnId="57"/>
      <queryTableField id="15" name="TUSD_CCC" tableColumnId="58"/>
      <queryTableField id="16" name="TUSD_CDE" tableColumnId="59"/>
      <queryTableField id="17" name="TUSD_PROINFA" tableColumnId="60"/>
      <queryTableField id="18" name="Liminar1" tableColumnId="61"/>
      <queryTableField id="19" name="TUSD_RB" tableColumnId="62"/>
      <queryTableField id="20" name="TUSD_FR" tableColumnId="63"/>
      <queryTableField id="21" name="TUSD_CCT" tableColumnId="64"/>
      <queryTableField id="22" name="TUSD_CCD" tableColumnId="65"/>
      <queryTableField id="23" name="TUSD_CUSD" tableColumnId="66"/>
      <queryTableField id="24" name="TUSDG_T" tableColumnId="67"/>
      <queryTableField id="25" name="TUSDG_ONS" tableColumnId="68"/>
      <queryTableField id="26" name="TUSD_FioB" tableColumnId="69"/>
      <queryTableField id="27" name="TUSD Subsidio" tableColumnId="70"/>
      <queryTableField id="28" name="TUSD Outros" tableColumnId="71"/>
      <queryTableField id="29" name="TUSD_PT" tableColumnId="72"/>
      <queryTableField id="30" name="TUSD_Per_RB_D" tableColumnId="73"/>
      <queryTableField id="31" name="TUSD_PNT" tableColumnId="74"/>
      <queryTableField id="32" name="TUSD_RI" tableColumnId="75"/>
      <queryTableField id="33" name="TE_CDE_COVID" tableColumnId="76"/>
      <queryTableField id="34" name="TE_CDE_ELET" tableColumnId="77"/>
      <queryTableField id="35" name="TE_PeD" tableColumnId="78"/>
      <queryTableField id="36" name="TE_ESSERR" tableColumnId="79"/>
      <queryTableField id="37" name="TE_CFURH" tableColumnId="80"/>
      <queryTableField id="38" name="TE_ENERGIA" tableColumnId="81"/>
      <queryTableField id="39" name="TE_TRANSPORTE_ITAIPU" tableColumnId="82"/>
      <queryTableField id="40" name="TE_TUST_ITAIPU" tableColumnId="83"/>
      <queryTableField id="41" name="TE_TUST_CI" tableColumnId="84"/>
      <queryTableField id="42" name="TE Subsidio" tableColumnId="85"/>
      <queryTableField id="43" name="TE_Per_RB" tableColumnId="8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F586F-D431-4795-83A9-E5596040370A}" name="Efeito" displayName="Efeito" ref="A1:AG241" totalsRowShown="0" headerRowDxfId="484" dataDxfId="483">
  <autoFilter ref="A1:AG241" xr:uid="{250F586F-D431-4795-83A9-E5596040370A}"/>
  <tableColumns count="33">
    <tableColumn id="1" xr3:uid="{12CF8F8E-85A2-4F44-B57E-F8932F2EDCC4}" name="TipoMercado" dataDxfId="482"/>
    <tableColumn id="2" xr3:uid="{0BCD8CEF-BC15-42D2-BFE2-3E8E10BFAAD3}" name="Subgrupo" dataDxfId="481"/>
    <tableColumn id="3" xr3:uid="{DA637A4C-4B94-4675-B69C-E7408206973C}" name="Modalidade" dataDxfId="480"/>
    <tableColumn id="4" xr3:uid="{915B3D80-623D-4C49-AA51-47D90B9520AA}" name="Classe" dataDxfId="479"/>
    <tableColumn id="5" xr3:uid="{A125848D-F7D8-4208-9611-9CEFFD925062}" name="Subclasse" dataDxfId="478"/>
    <tableColumn id="6" xr3:uid="{73C8F1D3-1728-4692-82EE-8F7C4D703462}" name="Detalhe" dataDxfId="477"/>
    <tableColumn id="7" xr3:uid="{5FD8A9B6-86E9-4CF7-B12F-D5873B5E99A2}" name="Agente" dataDxfId="476"/>
    <tableColumn id="8" xr3:uid="{12619E29-06E2-41A2-82A5-A151301F5B36}" name="Posto" dataDxfId="475"/>
    <tableColumn id="9" xr3:uid="{00892DA2-E1F5-487C-BABA-408CFE02B83F}" name="AnoMes" dataDxfId="474"/>
    <tableColumn id="10" xr3:uid="{ED320728-C23B-4A53-9C55-DDFC0DE9167A}" name="D" dataDxfId="473"/>
    <tableColumn id="11" xr3:uid="{B94704B9-EEF1-43F7-B688-318322C779D1}" name="Daj" dataDxfId="472"/>
    <tableColumn id="12" xr3:uid="{6F5E3283-CCC7-492E-918B-63051775812E}" name="TUSD_E" dataDxfId="471"/>
    <tableColumn id="13" xr3:uid="{9A6049D3-9578-481B-BDA3-0E445C854584}" name="TUSD_Eaj" dataDxfId="470"/>
    <tableColumn id="14" xr3:uid="{4D6FECD1-3109-4FA3-88A1-B6D71436D24B}" name="TE_E" dataDxfId="469"/>
    <tableColumn id="15" xr3:uid="{E28E0BE3-4BE2-4F1B-95B8-DF5DF43D6069}" name="TE_Eaj" dataDxfId="468"/>
    <tableColumn id="16" xr3:uid="{3E594FCC-9893-482E-BDA0-3E3352432ECC}" name="UC" dataDxfId="467"/>
    <tableColumn id="17" xr3:uid="{D41E2FD1-7741-46F7-8241-5003CC302FCE}" name="OPÇÃO" dataDxfId="466"/>
    <tableColumn id="18" xr3:uid="{B1BAE3F9-91EB-4108-A783-3A137CC7F330}" name="CóD. AUX." dataDxfId="465"/>
    <tableColumn id="19" xr3:uid="{243DCCE2-4B48-4D1E-B580-462863C0FAEB}" name="CóD. AUX. TUSD R$/kW" dataDxfId="464"/>
    <tableColumn id="20" xr3:uid="{ECD4B542-D899-49DD-B3CF-C28455E319FB}" name="CóD. AUX. TUSD R$/MWh" dataDxfId="463"/>
    <tableColumn id="21" xr3:uid="{4C897C57-B49F-43D4-A559-90673ED100EA}" name="CóD. AUX. TE R$/MWh" dataDxfId="462"/>
    <tableColumn id="22" xr3:uid="{29CC89C7-97A6-4BD5-B7FC-48A8C5D2FA1D}" name="TUSD (R$/kW)" dataDxfId="461"/>
    <tableColumn id="23" xr3:uid="{1F09D99D-2A91-4FB4-AD13-134E205801F9}" name="TUSD (R$/MWh)" dataDxfId="460"/>
    <tableColumn id="24" xr3:uid="{2139E803-647D-4333-9693-41999398DEA4}" name="TE (R$/MWh)" dataDxfId="459"/>
    <tableColumn id="25" xr3:uid="{054CC7EB-0779-4CF8-ADD7-D6CBC0B8A0AC}" name="TUSD (R$/kW) NOVA" dataDxfId="458"/>
    <tableColumn id="26" xr3:uid="{19B8F04C-BB0C-4975-93B4-99480F35330B}" name="TUSD (R$/MWh) NOVA" dataDxfId="457">
      <calculatedColumnFormula>('TUSD BE'!$AM$50+'TUSD BF'!$AM$50+'TUSD CVA'!$AM$50)*1</calculatedColumnFormula>
    </tableColumn>
    <tableColumn id="27" xr3:uid="{B90D34C3-787A-42A3-B497-93435B6A0CBE}" name="TE (R$/MWh) NOVA" dataDxfId="456">
      <calculatedColumnFormula>('TE BE'!$AB$41+'TE BF'!$AB$41+'TE CVA'!$AB$41)*1</calculatedColumnFormula>
    </tableColumn>
    <tableColumn id="28" xr3:uid="{4D771B66-947E-4F9D-901B-F842E963C2C2}" name="RA0 ou RV - TUSD (kW)" dataDxfId="455"/>
    <tableColumn id="29" xr3:uid="{587F5F30-03DF-4676-88B4-8C4823D6B18A}" name="RA0 ou RV - TUSD (MWh)" dataDxfId="454"/>
    <tableColumn id="30" xr3:uid="{3D956507-FB9A-46E3-99AC-9235F7026625}" name="RA0 ou RV - TE (MWh)" dataDxfId="453"/>
    <tableColumn id="31" xr3:uid="{250DE5CD-F6B8-4BFD-A723-0B14ACA501CD}" name="RA1 ou RRD - TUSD (kW)" dataDxfId="452"/>
    <tableColumn id="32" xr3:uid="{BCB4E4B9-0CD9-4D72-8D08-A5DEA433ABB4}" name="RA1 ou RRD - TUSD (MWh)" dataDxfId="451"/>
    <tableColumn id="33" xr3:uid="{CAE01B3F-3EE6-4D2E-9719-4639A45C4CEF}" name="RA1 ou RRD - TE (MWh)" dataDxfId="4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6CBE9-A41A-4A05-8B11-AE5D1E094FF5}" name="Subsidio" displayName="Subsidio" ref="A1:AF81" totalsRowShown="0" headerRowDxfId="449" dataDxfId="448">
  <autoFilter ref="A1:AF81" xr:uid="{6566CBE9-A41A-4A05-8B11-AE5D1E094FF5}"/>
  <tableColumns count="32">
    <tableColumn id="1" xr3:uid="{0402FC30-C481-4BC7-9FCD-B5C01C879AAB}" name="TipoMercado" dataDxfId="447"/>
    <tableColumn id="2" xr3:uid="{6182E966-7AB3-46C7-AAC1-F9108A3518F7}" name="Subgrupo" dataDxfId="446"/>
    <tableColumn id="3" xr3:uid="{2908B1F9-D057-425D-9534-DE5596A93C26}" name="Modalidade" dataDxfId="445"/>
    <tableColumn id="4" xr3:uid="{7D1930A9-21A6-4CB8-A8BC-8B0FFA27E848}" name="Classe" dataDxfId="444"/>
    <tableColumn id="5" xr3:uid="{E8332C9C-E2CD-4E43-BE1E-4050800C71EC}" name="Subclasse" dataDxfId="443"/>
    <tableColumn id="6" xr3:uid="{A86A8BF9-1ED4-436C-8E92-74AE1A95A1FC}" name="Detalhe" dataDxfId="442"/>
    <tableColumn id="7" xr3:uid="{4E5C7E90-889D-48F5-96D9-B1646901ED35}" name="Agente" dataDxfId="441"/>
    <tableColumn id="8" xr3:uid="{BE8A0902-B03E-49F0-B38B-55BC46CA798E}" name="Posto" dataDxfId="440"/>
    <tableColumn id="9" xr3:uid="{5A599E59-DF2D-4E2E-8F11-6A8C4F107223}" name="AnoMes" dataDxfId="439"/>
    <tableColumn id="10" xr3:uid="{C8254838-0A5B-427E-840F-668CDD3E74CA}" name="D" dataDxfId="438"/>
    <tableColumn id="11" xr3:uid="{FF08A6EF-3E74-4027-B167-7402F3B4AA55}" name="Daj" dataDxfId="437"/>
    <tableColumn id="12" xr3:uid="{C8B60E3E-BECA-45D0-916C-A0C24F2DA6F0}" name="TUSD_E" dataDxfId="436"/>
    <tableColumn id="13" xr3:uid="{9E91E464-8D88-4313-88FB-17382B40A704}" name="TUSD_Eaj" dataDxfId="435"/>
    <tableColumn id="14" xr3:uid="{26214D28-E168-4CC8-A59C-97DC3EAA53C8}" name="TE_E" dataDxfId="434"/>
    <tableColumn id="15" xr3:uid="{CC818167-2BDD-4E67-B254-19D34F136ECC}" name="TE_Eaj" dataDxfId="433"/>
    <tableColumn id="16" xr3:uid="{9046A9F7-C9C5-4C81-89E8-D34C7D6E6AEA}" name="UC" dataDxfId="432"/>
    <tableColumn id="17" xr3:uid="{95A1E0E1-BD03-4D85-928C-EF3731D81BC4}" name="OPÇÃO" dataDxfId="431"/>
    <tableColumn id="18" xr3:uid="{7B1B5839-A317-4C88-8168-F7E6CE391066}" name="CóD. AUX." dataDxfId="430"/>
    <tableColumn id="19" xr3:uid="{871868AD-1C0A-4495-B3AE-EF4E157D4AC6}" name="CóD. AUX. TUSD R$/kW" dataDxfId="429"/>
    <tableColumn id="20" xr3:uid="{C7C0229B-0692-47EF-8597-6422B2A91CA8}" name="CóD. AUX. TUSD R$/MWh" dataDxfId="428"/>
    <tableColumn id="21" xr3:uid="{14D0D5FA-6235-4200-AAFD-F518D4EC631F}" name="CóD. AUX. TE R$/MWh" dataDxfId="427"/>
    <tableColumn id="22" xr3:uid="{300EC2FD-D56C-43E5-959C-03AE5165D10E}" name="TUSD (R$/kW)" dataDxfId="426"/>
    <tableColumn id="23" xr3:uid="{D056904B-8844-4085-864F-12A232E53641}" name="TUSD (R$/MWh)" dataDxfId="425"/>
    <tableColumn id="24" xr3:uid="{59A7B5AD-AA56-488B-8E26-627B416A211A}" name="TE (R$/MWh)" dataDxfId="424"/>
    <tableColumn id="25" xr3:uid="{57CF1B00-99E5-46AB-BFE3-C18B82A9C2C6}" name="TUSD (R$/kW) NOVA" dataDxfId="423"/>
    <tableColumn id="26" xr3:uid="{B967B1C8-481D-4B9B-AEF6-70EDF76AC09D}" name="TUSD (R$/MWh) NOVA" dataDxfId="422">
      <calculatedColumnFormula>('TUSD BE'!$AM$48+'TUSD BF'!$AM$48+'TUSD CVA'!$AM$48)*1</calculatedColumnFormula>
    </tableColumn>
    <tableColumn id="27" xr3:uid="{07F689DA-F04F-4F17-B65F-35759CC2412E}" name="TE (R$/MWh) NOVA" dataDxfId="421">
      <calculatedColumnFormula>('TE BE'!$AB$39+'TE BF'!$AB$39+'TE CVA'!$AB$39)*1</calculatedColumnFormula>
    </tableColumn>
    <tableColumn id="28" xr3:uid="{E3A472D0-4883-4634-957A-505E011D1E8D}" name="SUBSIDIO kW - TV" dataDxfId="420">
      <calculatedColumnFormula>(J2-K2)*V2</calculatedColumnFormula>
    </tableColumn>
    <tableColumn id="29" xr3:uid="{AE9E8923-D6B6-4F3E-9A90-E4C68B37677B}" name="SUBSIDIO MWh - TV" dataDxfId="419">
      <calculatedColumnFormula>(L2-M2)*W2+(N2-O2)*X2</calculatedColumnFormula>
    </tableColumn>
    <tableColumn id="30" xr3:uid="{5B6A140F-0AEB-457C-A682-E5AAA6A1CE4F}" name="SUBSIDIO kW - TN" dataDxfId="418">
      <calculatedColumnFormula>(J2-K2)*Y2</calculatedColumnFormula>
    </tableColumn>
    <tableColumn id="31" xr3:uid="{E446B8D0-EE18-4595-BD97-CDE657C74EFA}" name="SUBSIDIO MWh - TN" dataDxfId="417">
      <calculatedColumnFormula>(L2-M2)*Z2+(N2-O2)*AA2</calculatedColumnFormula>
    </tableColumn>
    <tableColumn id="32" xr3:uid="{0D3816D4-929B-4F48-91A2-9DEC37A3711B}" name="TIPO" dataDxfId="4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031E25-5AD1-40C7-8521-2F040561B09D}" name="TabelaFin" displayName="TabelaFin" ref="B3:AR50" tableType="queryTable" totalsRowShown="0" headerRowDxfId="143" dataDxfId="141" headerRowBorderDxfId="142" tableBorderDxfId="140" totalsRowBorderDxfId="139">
  <autoFilter ref="B3:AR50" xr:uid="{9C031E25-5AD1-40C7-8521-2F040561B09D}"/>
  <sortState xmlns:xlrd2="http://schemas.microsoft.com/office/spreadsheetml/2017/richdata2" ref="B4:AR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3">
    <tableColumn id="44" xr3:uid="{EE7F6059-CC6A-4333-8425-2105A2D7EA97}" uniqueName="44" name="SUBGRUPO" queryTableFieldId="1" dataDxfId="138"/>
    <tableColumn id="45" xr3:uid="{5FA63C64-93B7-4970-9F15-32AFC9B0EEB0}" uniqueName="45" name="MODALIDADE" queryTableFieldId="2" dataDxfId="137"/>
    <tableColumn id="46" xr3:uid="{DBC8DD72-B951-4DBB-85D3-1BF3ADC9769C}" uniqueName="46" name="CLASSE" queryTableFieldId="3" dataDxfId="136"/>
    <tableColumn id="47" xr3:uid="{65E72A18-4C48-475B-BC65-FC78AF30680D}" uniqueName="47" name="SUBCLASSE" queryTableFieldId="4" dataDxfId="135"/>
    <tableColumn id="48" xr3:uid="{092753B2-0033-4EBC-97F5-160CE680F565}" uniqueName="48" name="DETALHE" queryTableFieldId="5" dataDxfId="134"/>
    <tableColumn id="49" xr3:uid="{14F686C4-D4FB-44ED-B31F-D34F9CBF2DAF}" uniqueName="49" name="POSTO" queryTableFieldId="6" dataDxfId="133"/>
    <tableColumn id="50" xr3:uid="{14B5F638-F8B3-450E-B11A-8E8F7FA9FA84}" uniqueName="50" name="UNIDADE" queryTableFieldId="7" dataDxfId="132"/>
    <tableColumn id="51" xr3:uid="{881F3A26-8580-4492-8CB2-0F7136209B02}" uniqueName="51" name="ACESSANTE" queryTableFieldId="8" dataDxfId="131"/>
    <tableColumn id="52" xr3:uid="{96CAF612-0EC7-4BF6-8042-C367DCB058A7}" uniqueName="52" name="Total TUSD" queryTableFieldId="9" dataDxfId="130"/>
    <tableColumn id="53" xr3:uid="{626E47A7-1C14-4C91-B273-D4F92225885B}" uniqueName="53" name="Total TE" queryTableFieldId="10" dataDxfId="129"/>
    <tableColumn id="54" xr3:uid="{4E8F65EE-4480-44DE-A680-478AE3CA4874}" uniqueName="54" name="TUSD_CDE_COVID" queryTableFieldId="11" dataDxfId="128"/>
    <tableColumn id="55" xr3:uid="{9928DB73-BB22-453C-8CA9-5B2D0BAC481F}" uniqueName="55" name="TUSD_TFSEE" queryTableFieldId="12" dataDxfId="127"/>
    <tableColumn id="56" xr3:uid="{1E489E8B-8FF2-45EC-AE2E-D9BF5047B2A7}" uniqueName="56" name="TUSD_PeD" queryTableFieldId="13" dataDxfId="126"/>
    <tableColumn id="57" xr3:uid="{AD27F9E1-C7D7-4715-85EF-18D9AE15DA65}" uniqueName="57" name="TUSD_ONS" queryTableFieldId="14" dataDxfId="125"/>
    <tableColumn id="58" xr3:uid="{6846CC60-EC5E-4352-8103-80A35CBDF2DC}" uniqueName="58" name="TUSD_CCC" queryTableFieldId="15" dataDxfId="124"/>
    <tableColumn id="59" xr3:uid="{4102C444-05B7-4EA6-8490-60CD291C1572}" uniqueName="59" name="TUSD_CDE" queryTableFieldId="16" dataDxfId="123"/>
    <tableColumn id="60" xr3:uid="{C47C098B-70E9-43A8-AC1E-E91D1A1111FB}" uniqueName="60" name="TUSD_PROINFA" queryTableFieldId="17" dataDxfId="122"/>
    <tableColumn id="61" xr3:uid="{9FDAF436-D9DE-4515-9145-8B98FD4E387A}" uniqueName="61" name="Liminar1" queryTableFieldId="18" dataDxfId="121"/>
    <tableColumn id="62" xr3:uid="{02D14694-1CF3-4E16-A97E-8E7686F008CE}" uniqueName="62" name="TUSD_RB" queryTableFieldId="19" dataDxfId="120"/>
    <tableColumn id="63" xr3:uid="{E37E95E8-B9A8-4EB9-AC6D-29965FD79604}" uniqueName="63" name="TUSD_FR" queryTableFieldId="20" dataDxfId="119"/>
    <tableColumn id="64" xr3:uid="{0F47DDF5-0F27-47DC-A491-7501AF98858A}" uniqueName="64" name="TUSD_CCT" queryTableFieldId="21" dataDxfId="118"/>
    <tableColumn id="65" xr3:uid="{F3CD1DBB-4C2F-4CFB-A05A-DD472AADA722}" uniqueName="65" name="TUSD_CCD" queryTableFieldId="22" dataDxfId="117"/>
    <tableColumn id="66" xr3:uid="{54FF1D9D-DFA5-4823-8450-860F4BABAA4A}" uniqueName="66" name="TUSD_CUSD" queryTableFieldId="23" dataDxfId="116"/>
    <tableColumn id="67" xr3:uid="{00FD749B-FAF7-4506-B231-BF3ECDF761E1}" uniqueName="67" name="TUSDG_T" queryTableFieldId="24" dataDxfId="115"/>
    <tableColumn id="68" xr3:uid="{692F61D1-48DB-4E4E-83C1-813E64A88FC7}" uniqueName="68" name="TUSDG_ONS" queryTableFieldId="25" dataDxfId="114"/>
    <tableColumn id="69" xr3:uid="{9B1F8DC0-DF76-440A-8560-2B10434677AB}" uniqueName="69" name="TUSD_FioB" queryTableFieldId="26" dataDxfId="113"/>
    <tableColumn id="70" xr3:uid="{342481CC-AE23-4C34-BD8F-9BAB12853EB6}" uniqueName="70" name="TUSD Subsidio" queryTableFieldId="27" dataDxfId="112"/>
    <tableColumn id="71" xr3:uid="{C8F3AB8C-DE8E-4458-9529-C150A299C744}" uniqueName="71" name="TUSD Outros" queryTableFieldId="28" dataDxfId="111"/>
    <tableColumn id="72" xr3:uid="{35E2FBCC-4A96-4E29-8232-943BC680A058}" uniqueName="72" name="TUSD_PT" queryTableFieldId="29" dataDxfId="110"/>
    <tableColumn id="73" xr3:uid="{21A6E3B3-9706-4E4C-A66D-89ADE91BF4B3}" uniqueName="73" name="TUSD_Per_RB_D" queryTableFieldId="30" dataDxfId="109"/>
    <tableColumn id="74" xr3:uid="{39900E84-6267-49FD-9FEA-E1B348B96DF8}" uniqueName="74" name="TUSD_PNT" queryTableFieldId="31" dataDxfId="108"/>
    <tableColumn id="75" xr3:uid="{94837645-7ADE-4241-ABFB-324151D76A36}" uniqueName="75" name="TUSD_RI" queryTableFieldId="32" dataDxfId="107"/>
    <tableColumn id="76" xr3:uid="{56F750CA-9B44-4979-8591-AC48287DB1FB}" uniqueName="76" name="TE_CDE_COVID" queryTableFieldId="33" dataDxfId="106"/>
    <tableColumn id="77" xr3:uid="{D2C1A32A-1876-4A8B-A8E0-4C2E0F7878FF}" uniqueName="77" name="TE_CDE_ELET" queryTableFieldId="34" dataDxfId="105"/>
    <tableColumn id="78" xr3:uid="{89D26BC4-94B4-413C-A50B-38DFFC73068D}" uniqueName="78" name="TE_PeD" queryTableFieldId="35" dataDxfId="104"/>
    <tableColumn id="79" xr3:uid="{0D8A564D-01FF-49BA-A766-2DFAC6924A17}" uniqueName="79" name="TE_ESSERR" queryTableFieldId="36" dataDxfId="103"/>
    <tableColumn id="80" xr3:uid="{C3E2B213-A2D9-4039-918F-C22E3732851F}" uniqueName="80" name="TE_CFURH" queryTableFieldId="37" dataDxfId="102"/>
    <tableColumn id="81" xr3:uid="{FB57D568-C3B1-43A1-AE77-7E1A4D1E1566}" uniqueName="81" name="TE_ENERGIA" queryTableFieldId="38" dataDxfId="101"/>
    <tableColumn id="82" xr3:uid="{7752A115-5237-40B4-8D09-94A6FB6F7984}" uniqueName="82" name="TE_TRANSPORTE_ITAIPU" queryTableFieldId="39" dataDxfId="100"/>
    <tableColumn id="83" xr3:uid="{07FA5445-FA5C-4BC7-8222-3A1BD58C82D4}" uniqueName="83" name="TE_TUST_ITAIPU" queryTableFieldId="40" dataDxfId="99"/>
    <tableColumn id="84" xr3:uid="{B872C745-2F6B-46F0-9D31-124AE377EF51}" uniqueName="84" name="TE_TUST_CI" queryTableFieldId="41" dataDxfId="98"/>
    <tableColumn id="85" xr3:uid="{6DC430EC-47E5-47FE-BEBF-8F519939457D}" uniqueName="85" name="TE Subsidio" queryTableFieldId="42" dataDxfId="97"/>
    <tableColumn id="86" xr3:uid="{3D372752-DC6E-4A83-A60F-55659DD5AA89}" uniqueName="86" name="TE_Per_RB" queryTableFieldId="43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1DAF36-B070-4C80-AD5C-4A7BDFA054F4}" name="TabelaEc" displayName="TabelaEc" ref="B3:AR50" tableType="queryTable" totalsRowShown="0" headerRowDxfId="95" dataDxfId="93" headerRowBorderDxfId="94" tableBorderDxfId="92" totalsRowBorderDxfId="91">
  <autoFilter ref="B3:AR50" xr:uid="{1B1DAF36-B070-4C80-AD5C-4A7BDFA054F4}"/>
  <sortState xmlns:xlrd2="http://schemas.microsoft.com/office/spreadsheetml/2017/richdata2" ref="B4:AR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3">
    <tableColumn id="44" xr3:uid="{6FB1B5D9-0643-411D-AFAE-C2C0C5D9D6F1}" uniqueName="44" name="SUBGRUPO" queryTableFieldId="1" dataDxfId="90"/>
    <tableColumn id="45" xr3:uid="{D97D0A57-8032-4C9E-8478-65B4EFC96A71}" uniqueName="45" name="MODALIDADE" queryTableFieldId="2" dataDxfId="89"/>
    <tableColumn id="46" xr3:uid="{3D833AFB-4F42-408E-BB3A-4D850EBFD411}" uniqueName="46" name="CLASSE" queryTableFieldId="3" dataDxfId="88"/>
    <tableColumn id="47" xr3:uid="{B64C81F0-6320-4FAC-9DC6-74C715010982}" uniqueName="47" name="SUBCLASSE" queryTableFieldId="4" dataDxfId="87"/>
    <tableColumn id="48" xr3:uid="{361D2C73-007B-4509-BC2E-954BDD58E970}" uniqueName="48" name="DETALHE" queryTableFieldId="5" dataDxfId="86"/>
    <tableColumn id="49" xr3:uid="{4198797D-41EF-4FB7-9BC2-EB89FD4831C7}" uniqueName="49" name="POSTO" queryTableFieldId="6" dataDxfId="85"/>
    <tableColumn id="50" xr3:uid="{8308C886-8024-4713-BAF8-C9E67D89DEC4}" uniqueName="50" name="UNIDADE" queryTableFieldId="7" dataDxfId="84"/>
    <tableColumn id="51" xr3:uid="{55FFFC5A-2F61-4ED9-8F2F-75F7DBB9B35F}" uniqueName="51" name="ACESSANTE" queryTableFieldId="8" dataDxfId="83"/>
    <tableColumn id="52" xr3:uid="{336462A1-1F38-405D-AF23-7985548BE709}" uniqueName="52" name="Total TUSD" queryTableFieldId="9" dataDxfId="82"/>
    <tableColumn id="53" xr3:uid="{3713E52E-47AE-449F-8F90-B1466FBF1C1B}" uniqueName="53" name="Total TE" queryTableFieldId="10" dataDxfId="81"/>
    <tableColumn id="54" xr3:uid="{5B9B4DBB-AAD0-4630-8FF9-162F042DD1E1}" uniqueName="54" name="TUSD_CDE_COVID" queryTableFieldId="11" dataDxfId="80"/>
    <tableColumn id="55" xr3:uid="{2584B74A-DFF9-49EC-8E91-1F60AB1A2555}" uniqueName="55" name="TUSD_TFSEE" queryTableFieldId="12" dataDxfId="79"/>
    <tableColumn id="56" xr3:uid="{0628164B-94FF-41CA-9145-6150E551DBDB}" uniqueName="56" name="TUSD_PeD" queryTableFieldId="13" dataDxfId="78"/>
    <tableColumn id="57" xr3:uid="{8BCBAAD3-57CE-460C-9106-386723DC7043}" uniqueName="57" name="TUSD_ONS" queryTableFieldId="14" dataDxfId="77"/>
    <tableColumn id="58" xr3:uid="{40313F73-116A-4167-ABA9-14836836B80E}" uniqueName="58" name="TUSD_CCC" queryTableFieldId="15" dataDxfId="76"/>
    <tableColumn id="59" xr3:uid="{36AC0420-77EE-486A-9F13-9F2461CF5C1D}" uniqueName="59" name="TUSD_CDE" queryTableFieldId="16" dataDxfId="75"/>
    <tableColumn id="60" xr3:uid="{B89A397D-DC0A-4A2B-8D54-E7C0B8761DD9}" uniqueName="60" name="TUSD_PROINFA" queryTableFieldId="17" dataDxfId="74"/>
    <tableColumn id="61" xr3:uid="{6F812A8A-2B63-4AC4-A89F-9D68D9921CB4}" uniqueName="61" name="Liminar1" queryTableFieldId="18" dataDxfId="73"/>
    <tableColumn id="62" xr3:uid="{1CEADCD3-FE6C-445D-8F4E-42FF10478846}" uniqueName="62" name="TUSD_RB" queryTableFieldId="19" dataDxfId="72"/>
    <tableColumn id="63" xr3:uid="{8BF37C94-5C1E-49AA-9095-ACB13C45CF4C}" uniqueName="63" name="TUSD_FR" queryTableFieldId="20" dataDxfId="71"/>
    <tableColumn id="64" xr3:uid="{08F73A0D-B3B7-40AE-A5BF-FB5C916B3C68}" uniqueName="64" name="TUSD_CCT" queryTableFieldId="21" dataDxfId="70"/>
    <tableColumn id="65" xr3:uid="{7D4A27FD-4290-45B4-99B7-82DF23D1A986}" uniqueName="65" name="TUSD_CCD" queryTableFieldId="22" dataDxfId="69"/>
    <tableColumn id="66" xr3:uid="{51BB861A-8827-4D01-8B9B-8ACB3F594857}" uniqueName="66" name="TUSD_CUSD" queryTableFieldId="23" dataDxfId="68"/>
    <tableColumn id="67" xr3:uid="{7E0BC5AB-B0C5-4E8B-897A-45729CBE180D}" uniqueName="67" name="TUSDG_T" queryTableFieldId="24" dataDxfId="67"/>
    <tableColumn id="68" xr3:uid="{EE8FB387-83F9-4D1D-A05C-A4FDBBC6D0FF}" uniqueName="68" name="TUSDG_ONS" queryTableFieldId="25" dataDxfId="66"/>
    <tableColumn id="69" xr3:uid="{789F1E59-E836-44A9-97C6-10C838181CC1}" uniqueName="69" name="TUSD_FioB" queryTableFieldId="26" dataDxfId="65"/>
    <tableColumn id="70" xr3:uid="{7DBF695C-8449-4204-B5E3-681D64FB28E5}" uniqueName="70" name="TUSD Subsidio" queryTableFieldId="27" dataDxfId="64"/>
    <tableColumn id="71" xr3:uid="{296A5C47-0F87-4C99-8B6A-7A74FA1A938F}" uniqueName="71" name="TUSD Outros" queryTableFieldId="28" dataDxfId="63"/>
    <tableColumn id="72" xr3:uid="{33D7C710-0041-4559-91ED-EA45BD70C3CE}" uniqueName="72" name="TUSD_PT" queryTableFieldId="29" dataDxfId="62"/>
    <tableColumn id="73" xr3:uid="{218B87C9-8EF7-4748-B102-379DE6DD7573}" uniqueName="73" name="TUSD_Per_RB_D" queryTableFieldId="30" dataDxfId="61"/>
    <tableColumn id="74" xr3:uid="{4FF0A7EF-D829-489E-BB31-D095ABA2C3E5}" uniqueName="74" name="TUSD_PNT" queryTableFieldId="31" dataDxfId="60"/>
    <tableColumn id="75" xr3:uid="{25218247-169C-45BC-BFE3-AEE25F8B8468}" uniqueName="75" name="TUSD_RI" queryTableFieldId="32" dataDxfId="59"/>
    <tableColumn id="76" xr3:uid="{2C36331D-E364-4BB3-A271-B4A68E0ECF24}" uniqueName="76" name="TE_CDE_COVID" queryTableFieldId="33" dataDxfId="58"/>
    <tableColumn id="77" xr3:uid="{FDE66E56-12A6-4D6D-A90B-35430F76963E}" uniqueName="77" name="TE_CDE_ELET" queryTableFieldId="34" dataDxfId="57"/>
    <tableColumn id="78" xr3:uid="{32A013D3-020A-4D58-A8E0-2274016E9F2D}" uniqueName="78" name="TE_PeD" queryTableFieldId="35" dataDxfId="56"/>
    <tableColumn id="79" xr3:uid="{3B17C72D-90E7-4563-BCE5-30D2018AA56D}" uniqueName="79" name="TE_ESSERR" queryTableFieldId="36" dataDxfId="55"/>
    <tableColumn id="80" xr3:uid="{8D01C2BA-514F-46A2-9D0A-A426F36D248D}" uniqueName="80" name="TE_CFURH" queryTableFieldId="37" dataDxfId="54"/>
    <tableColumn id="81" xr3:uid="{C735E21B-594B-47C4-A833-4263AFDEC7B2}" uniqueName="81" name="TE_ENERGIA" queryTableFieldId="38" dataDxfId="53"/>
    <tableColumn id="82" xr3:uid="{9F5C2057-FDA5-47B8-A449-AC65D1DCFCC1}" uniqueName="82" name="TE_TRANSPORTE_ITAIPU" queryTableFieldId="39" dataDxfId="52"/>
    <tableColumn id="83" xr3:uid="{F8A67E1D-BB13-4E97-BE69-7A09258AEAD7}" uniqueName="83" name="TE_TUST_ITAIPU" queryTableFieldId="40" dataDxfId="51"/>
    <tableColumn id="84" xr3:uid="{290AE887-B00D-4D79-838D-E62743F3DF30}" uniqueName="84" name="TE_TUST_CI" queryTableFieldId="41" dataDxfId="50"/>
    <tableColumn id="85" xr3:uid="{A7CDEF57-859B-4FF2-83F3-7E8CE3169F45}" uniqueName="85" name="TE Subsidio" queryTableFieldId="42" dataDxfId="49"/>
    <tableColumn id="86" xr3:uid="{C6ECE06D-84F5-4B71-8509-8360FC5C36A1}" uniqueName="86" name="TE_Per_RB" queryTableFieldId="43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E2A1F8-FEB2-4254-B2F1-3A1864994A14}" name="TabelaCVA" displayName="TabelaCVA" ref="B3:AR50" tableType="queryTable" totalsRowShown="0" headerRowDxfId="47" dataDxfId="45" headerRowBorderDxfId="46" tableBorderDxfId="44" totalsRowBorderDxfId="43">
  <autoFilter ref="B3:AR50" xr:uid="{B7E2A1F8-FEB2-4254-B2F1-3A1864994A14}"/>
  <sortState xmlns:xlrd2="http://schemas.microsoft.com/office/spreadsheetml/2017/richdata2" ref="B4:AR50">
    <sortCondition ref="B4:B50"/>
    <sortCondition ref="C4:C50"/>
    <sortCondition ref="D4:D50"/>
    <sortCondition ref="E4:E50"/>
    <sortCondition ref="F4:F50"/>
    <sortCondition descending="1" ref="G4:G50"/>
    <sortCondition descending="1" ref="H4:H50"/>
    <sortCondition ref="I4:I50"/>
  </sortState>
  <tableColumns count="43">
    <tableColumn id="44" xr3:uid="{5BF06A5C-DE37-45DE-BBB8-05120B7DE163}" uniqueName="44" name="SUBGRUPO" queryTableFieldId="1" dataDxfId="42"/>
    <tableColumn id="45" xr3:uid="{07EBC567-17C3-431A-B89F-2F41B73F6A33}" uniqueName="45" name="MODALIDADE" queryTableFieldId="2" dataDxfId="41"/>
    <tableColumn id="46" xr3:uid="{B23743A0-EF3E-426A-AA00-613F82B12E1C}" uniqueName="46" name="CLASSE" queryTableFieldId="3" dataDxfId="40"/>
    <tableColumn id="47" xr3:uid="{DD0BD5C4-57F8-4EC1-ADB4-C3D8FF178021}" uniqueName="47" name="SUBCLASSE" queryTableFieldId="4" dataDxfId="39"/>
    <tableColumn id="48" xr3:uid="{DFCEF166-CCC0-4FE6-AA3F-C754F7ACAF75}" uniqueName="48" name="DETALHE" queryTableFieldId="5" dataDxfId="38"/>
    <tableColumn id="49" xr3:uid="{DA0AA4D5-246D-40D8-BF8A-6BACE87FF807}" uniqueName="49" name="POSTO" queryTableFieldId="6" dataDxfId="37"/>
    <tableColumn id="50" xr3:uid="{810D1813-678A-49BC-BF5F-1EBBAFD1F352}" uniqueName="50" name="UNIDADE" queryTableFieldId="7" dataDxfId="36"/>
    <tableColumn id="51" xr3:uid="{A87E54CA-2408-42B3-8AE1-CC29D966B6FE}" uniqueName="51" name="ACESSANTE" queryTableFieldId="8" dataDxfId="35"/>
    <tableColumn id="52" xr3:uid="{580859B3-2B29-4095-BFD9-5C6D2140210C}" uniqueName="52" name="Total TUSD" queryTableFieldId="9" dataDxfId="34"/>
    <tableColumn id="53" xr3:uid="{862A4001-2410-4024-86DE-700B36C1C8A5}" uniqueName="53" name="Total TE" queryTableFieldId="10" dataDxfId="33"/>
    <tableColumn id="54" xr3:uid="{1A4AD9AD-39F3-434C-A59F-2D4D9D52EFEC}" uniqueName="54" name="TUSD_CDE_COVID" queryTableFieldId="11" dataDxfId="32"/>
    <tableColumn id="55" xr3:uid="{571E483E-B918-45E6-8DA6-55D4F59A917B}" uniqueName="55" name="TUSD_TFSEE" queryTableFieldId="12" dataDxfId="31"/>
    <tableColumn id="56" xr3:uid="{90CF9448-AE39-4E18-90FE-2D9F57EF1FC7}" uniqueName="56" name="TUSD_PeD" queryTableFieldId="13" dataDxfId="30"/>
    <tableColumn id="57" xr3:uid="{D1AF00B1-C357-4EDD-94EF-234D306E0C6E}" uniqueName="57" name="TUSD_ONS" queryTableFieldId="14" dataDxfId="29"/>
    <tableColumn id="58" xr3:uid="{CBBCA27F-1618-447E-B28A-B4A62ACD32D1}" uniqueName="58" name="TUSD_CCC" queryTableFieldId="15" dataDxfId="28"/>
    <tableColumn id="59" xr3:uid="{A7CD5725-427D-472F-9F31-43497763FE14}" uniqueName="59" name="TUSD_CDE" queryTableFieldId="16" dataDxfId="27"/>
    <tableColumn id="60" xr3:uid="{CE725DEF-E6E5-4B18-8397-DC38021AA6B7}" uniqueName="60" name="TUSD_PROINFA" queryTableFieldId="17" dataDxfId="26"/>
    <tableColumn id="61" xr3:uid="{E5D2A393-97A3-4E09-BA22-FBCBEBEB8249}" uniqueName="61" name="Liminar1" queryTableFieldId="18" dataDxfId="25"/>
    <tableColumn id="62" xr3:uid="{FE79D568-C246-4625-8F35-525927E5179F}" uniqueName="62" name="TUSD_RB" queryTableFieldId="19" dataDxfId="24"/>
    <tableColumn id="63" xr3:uid="{D7FE73A4-83FE-44C3-8F5C-B6B0AAD2E716}" uniqueName="63" name="TUSD_FR" queryTableFieldId="20" dataDxfId="23"/>
    <tableColumn id="64" xr3:uid="{9F8C2EAA-4210-483B-B3F0-DC80211D9CBE}" uniqueName="64" name="TUSD_CCT" queryTableFieldId="21" dataDxfId="22"/>
    <tableColumn id="65" xr3:uid="{30BB899A-9155-4821-9B7B-70C292FF4091}" uniqueName="65" name="TUSD_CCD" queryTableFieldId="22" dataDxfId="21"/>
    <tableColumn id="66" xr3:uid="{B79F7DEE-EC66-4CDC-AFFB-0234352BB037}" uniqueName="66" name="TUSD_CUSD" queryTableFieldId="23" dataDxfId="20"/>
    <tableColumn id="67" xr3:uid="{444CF34D-2187-48FD-BECE-205C7A59B408}" uniqueName="67" name="TUSDG_T" queryTableFieldId="24" dataDxfId="19"/>
    <tableColumn id="68" xr3:uid="{F6A4580F-1FAC-4B40-B78F-00AB86C1D589}" uniqueName="68" name="TUSDG_ONS" queryTableFieldId="25" dataDxfId="18"/>
    <tableColumn id="69" xr3:uid="{89C18E23-2B2A-4375-9DF6-246D8D2F6B6D}" uniqueName="69" name="TUSD_FioB" queryTableFieldId="26" dataDxfId="17"/>
    <tableColumn id="70" xr3:uid="{08047209-BE2A-461C-892B-8E2A327C8386}" uniqueName="70" name="TUSD Subsidio" queryTableFieldId="27" dataDxfId="16"/>
    <tableColumn id="71" xr3:uid="{F985E3DA-9FCB-496E-A5A7-913A7C9CAB8C}" uniqueName="71" name="TUSD Outros" queryTableFieldId="28" dataDxfId="15"/>
    <tableColumn id="72" xr3:uid="{84A5889D-6F91-42F6-ABB5-EB64E892F3C6}" uniqueName="72" name="TUSD_PT" queryTableFieldId="29" dataDxfId="14"/>
    <tableColumn id="73" xr3:uid="{87018A0A-8E2F-4414-96E5-AB142C6531C3}" uniqueName="73" name="TUSD_Per_RB_D" queryTableFieldId="30" dataDxfId="13"/>
    <tableColumn id="74" xr3:uid="{06A90C4D-ACAC-43C3-8F10-90954DE5EBD3}" uniqueName="74" name="TUSD_PNT" queryTableFieldId="31" dataDxfId="12"/>
    <tableColumn id="75" xr3:uid="{46BA2379-AD0A-4819-B389-2DC4F0B9063C}" uniqueName="75" name="TUSD_RI" queryTableFieldId="32" dataDxfId="11"/>
    <tableColumn id="76" xr3:uid="{2D754366-0E29-4389-8A35-78D04C6B6756}" uniqueName="76" name="TE_CDE_COVID" queryTableFieldId="33" dataDxfId="10"/>
    <tableColumn id="77" xr3:uid="{72D8B701-5EE1-4BDD-998D-745F5196C771}" uniqueName="77" name="TE_CDE_ELET" queryTableFieldId="34" dataDxfId="9"/>
    <tableColumn id="78" xr3:uid="{A74A8AD5-7005-42F9-B514-FCE0D0F68CB1}" uniqueName="78" name="TE_PeD" queryTableFieldId="35" dataDxfId="8"/>
    <tableColumn id="79" xr3:uid="{E9948732-C6BA-424C-A837-C0B8B556091A}" uniqueName="79" name="TE_ESSERR" queryTableFieldId="36" dataDxfId="7"/>
    <tableColumn id="80" xr3:uid="{F8016E2C-7037-4C47-9A35-4E175025A085}" uniqueName="80" name="TE_CFURH" queryTableFieldId="37" dataDxfId="6"/>
    <tableColumn id="81" xr3:uid="{0CE83AC2-7191-45F4-A70B-93379650691C}" uniqueName="81" name="TE_ENERGIA" queryTableFieldId="38" dataDxfId="5"/>
    <tableColumn id="82" xr3:uid="{467C1485-00EC-49B2-8393-82C25ECBDF1A}" uniqueName="82" name="TE_TRANSPORTE_ITAIPU" queryTableFieldId="39" dataDxfId="4"/>
    <tableColumn id="83" xr3:uid="{9D0887BC-DDA6-4ED8-8A99-1805D2A84D7C}" uniqueName="83" name="TE_TUST_ITAIPU" queryTableFieldId="40" dataDxfId="3"/>
    <tableColumn id="84" xr3:uid="{8EE62AD9-D790-4D2B-BDAD-9DA41B44E976}" uniqueName="84" name="TE_TUST_CI" queryTableFieldId="41" dataDxfId="2"/>
    <tableColumn id="85" xr3:uid="{06672C25-7ABB-4BF6-B8F8-FB0C267FF513}" uniqueName="85" name="TE Subsidio" queryTableFieldId="42" dataDxfId="1"/>
    <tableColumn id="86" xr3:uid="{912771A6-FD62-4CE1-A49D-8F7BA9C92E03}" uniqueName="86" name="TE_Per_RB" queryTableFieldId="4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614C-F053-4768-A8B0-CE7A2724E5AA}">
  <dimension ref="A1:W241"/>
  <sheetViews>
    <sheetView showGridLines="0" topLeftCell="A208" workbookViewId="0">
      <selection activeCell="T242" sqref="T242"/>
    </sheetView>
  </sheetViews>
  <sheetFormatPr defaultRowHeight="11.25" customHeight="1" x14ac:dyDescent="0.25"/>
  <cols>
    <col min="1" max="1" width="19.140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1" width="5.7109375" style="6" bestFit="1" customWidth="1"/>
    <col min="12" max="12" width="7" style="6" bestFit="1" customWidth="1"/>
    <col min="13" max="13" width="8" style="6" bestFit="1" customWidth="1"/>
    <col min="14" max="16" width="7" style="6" bestFit="1" customWidth="1"/>
    <col min="17" max="17" width="6.5703125" style="4" bestFit="1" customWidth="1"/>
    <col min="18" max="18" width="8.5703125" style="4" bestFit="1" customWidth="1"/>
    <col min="19" max="19" width="78.140625" style="4" bestFit="1" customWidth="1"/>
    <col min="20" max="20" width="83.85546875" style="4" bestFit="1" customWidth="1"/>
    <col min="21" max="21" width="18.42578125" style="4" bestFit="1" customWidth="1"/>
    <col min="22" max="22" width="19.85546875" style="4" bestFit="1" customWidth="1"/>
    <col min="23" max="23" width="17.7109375" style="4" bestFit="1" customWidth="1"/>
    <col min="24" max="16384" width="9.140625" style="4"/>
  </cols>
  <sheetData>
    <row r="1" spans="1:23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86</v>
      </c>
      <c r="T1" s="1" t="s">
        <v>246</v>
      </c>
      <c r="U1" s="1" t="s">
        <v>18</v>
      </c>
      <c r="V1" s="1" t="s">
        <v>19</v>
      </c>
      <c r="W1" s="1" t="s">
        <v>20</v>
      </c>
    </row>
    <row r="2" spans="1:23" ht="11.25" customHeight="1" x14ac:dyDescent="0.25">
      <c r="A2" s="4" t="s">
        <v>21</v>
      </c>
      <c r="B2" s="4" t="s">
        <v>39</v>
      </c>
      <c r="C2" s="4" t="s">
        <v>40</v>
      </c>
      <c r="D2" s="4" t="s">
        <v>38</v>
      </c>
      <c r="E2" s="4" t="s">
        <v>25</v>
      </c>
      <c r="F2" s="4" t="s">
        <v>25</v>
      </c>
      <c r="G2" s="4" t="s">
        <v>25</v>
      </c>
      <c r="H2" s="4" t="s">
        <v>35</v>
      </c>
      <c r="I2" s="5">
        <v>44378</v>
      </c>
      <c r="J2" s="6">
        <v>0</v>
      </c>
      <c r="K2" s="6">
        <v>0</v>
      </c>
      <c r="L2" s="6">
        <v>49.872999999999998</v>
      </c>
      <c r="M2" s="6">
        <v>49.872999999999998</v>
      </c>
      <c r="N2" s="6">
        <v>49.872999999999998</v>
      </c>
      <c r="O2" s="6">
        <v>49.872999999999998</v>
      </c>
      <c r="P2" s="6">
        <v>0</v>
      </c>
      <c r="Q2" s="4" t="s">
        <v>26</v>
      </c>
      <c r="R2" s="4">
        <v>0</v>
      </c>
      <c r="S2" s="4" t="s">
        <v>87</v>
      </c>
      <c r="T2" s="4" t="s">
        <v>247</v>
      </c>
      <c r="U2" s="4">
        <v>0</v>
      </c>
      <c r="V2" s="4">
        <v>21</v>
      </c>
      <c r="W2" s="4">
        <v>48</v>
      </c>
    </row>
    <row r="3" spans="1:23" ht="11.25" customHeight="1" x14ac:dyDescent="0.25">
      <c r="A3" s="4" t="s">
        <v>21</v>
      </c>
      <c r="B3" s="4" t="s">
        <v>39</v>
      </c>
      <c r="C3" s="4" t="s">
        <v>40</v>
      </c>
      <c r="D3" s="4" t="s">
        <v>38</v>
      </c>
      <c r="E3" s="4" t="s">
        <v>25</v>
      </c>
      <c r="F3" s="4" t="s">
        <v>25</v>
      </c>
      <c r="G3" s="4" t="s">
        <v>25</v>
      </c>
      <c r="H3" s="4" t="s">
        <v>35</v>
      </c>
      <c r="I3" s="5">
        <v>44409</v>
      </c>
      <c r="J3" s="6">
        <v>0</v>
      </c>
      <c r="K3" s="6">
        <v>0</v>
      </c>
      <c r="L3" s="6">
        <v>59.265999999999998</v>
      </c>
      <c r="M3" s="6">
        <v>59.265999999999998</v>
      </c>
      <c r="N3" s="6">
        <v>59.265999999999998</v>
      </c>
      <c r="O3" s="6">
        <v>59.265999999999998</v>
      </c>
      <c r="P3" s="6">
        <v>0</v>
      </c>
      <c r="Q3" s="4" t="s">
        <v>26</v>
      </c>
      <c r="R3" s="4">
        <v>0</v>
      </c>
      <c r="S3" s="4" t="s">
        <v>88</v>
      </c>
      <c r="T3" s="4" t="s">
        <v>248</v>
      </c>
      <c r="U3" s="4">
        <v>0</v>
      </c>
      <c r="V3" s="4">
        <v>21</v>
      </c>
      <c r="W3" s="4">
        <v>48</v>
      </c>
    </row>
    <row r="4" spans="1:23" ht="11.25" customHeight="1" x14ac:dyDescent="0.25">
      <c r="A4" s="4" t="s">
        <v>21</v>
      </c>
      <c r="B4" s="4" t="s">
        <v>39</v>
      </c>
      <c r="C4" s="4" t="s">
        <v>40</v>
      </c>
      <c r="D4" s="4" t="s">
        <v>38</v>
      </c>
      <c r="E4" s="4" t="s">
        <v>25</v>
      </c>
      <c r="F4" s="4" t="s">
        <v>25</v>
      </c>
      <c r="G4" s="4" t="s">
        <v>25</v>
      </c>
      <c r="H4" s="4" t="s">
        <v>35</v>
      </c>
      <c r="I4" s="5">
        <v>44440</v>
      </c>
      <c r="J4" s="6">
        <v>0</v>
      </c>
      <c r="K4" s="6">
        <v>0</v>
      </c>
      <c r="L4" s="6">
        <v>83.984999999999999</v>
      </c>
      <c r="M4" s="6">
        <v>83.984999999999999</v>
      </c>
      <c r="N4" s="6">
        <v>83.984999999999999</v>
      </c>
      <c r="O4" s="6">
        <v>83.984999999999999</v>
      </c>
      <c r="P4" s="6">
        <v>0</v>
      </c>
      <c r="Q4" s="4" t="s">
        <v>26</v>
      </c>
      <c r="R4" s="4">
        <v>0</v>
      </c>
      <c r="S4" s="4" t="s">
        <v>89</v>
      </c>
      <c r="T4" s="4" t="s">
        <v>249</v>
      </c>
      <c r="U4" s="4">
        <v>0</v>
      </c>
      <c r="V4" s="4">
        <v>21</v>
      </c>
      <c r="W4" s="4">
        <v>48</v>
      </c>
    </row>
    <row r="5" spans="1:23" ht="11.25" customHeight="1" x14ac:dyDescent="0.25">
      <c r="A5" s="4" t="s">
        <v>21</v>
      </c>
      <c r="B5" s="4" t="s">
        <v>39</v>
      </c>
      <c r="C5" s="4" t="s">
        <v>40</v>
      </c>
      <c r="D5" s="4" t="s">
        <v>38</v>
      </c>
      <c r="E5" s="4" t="s">
        <v>25</v>
      </c>
      <c r="F5" s="4" t="s">
        <v>25</v>
      </c>
      <c r="G5" s="4" t="s">
        <v>25</v>
      </c>
      <c r="H5" s="4" t="s">
        <v>35</v>
      </c>
      <c r="I5" s="5">
        <v>44470</v>
      </c>
      <c r="J5" s="6">
        <v>0</v>
      </c>
      <c r="K5" s="6">
        <v>0</v>
      </c>
      <c r="L5" s="6">
        <v>15.336</v>
      </c>
      <c r="M5" s="6">
        <v>15.336</v>
      </c>
      <c r="N5" s="6">
        <v>15.336</v>
      </c>
      <c r="O5" s="6">
        <v>15.336</v>
      </c>
      <c r="P5" s="6">
        <v>0</v>
      </c>
      <c r="Q5" s="4" t="s">
        <v>26</v>
      </c>
      <c r="R5" s="4">
        <v>0</v>
      </c>
      <c r="S5" s="4" t="s">
        <v>90</v>
      </c>
      <c r="T5" s="4" t="s">
        <v>250</v>
      </c>
      <c r="U5" s="4">
        <v>0</v>
      </c>
      <c r="V5" s="4">
        <v>21</v>
      </c>
      <c r="W5" s="4">
        <v>48</v>
      </c>
    </row>
    <row r="6" spans="1:23" ht="11.25" customHeight="1" x14ac:dyDescent="0.25">
      <c r="A6" s="4" t="s">
        <v>21</v>
      </c>
      <c r="B6" s="4" t="s">
        <v>39</v>
      </c>
      <c r="C6" s="4" t="s">
        <v>40</v>
      </c>
      <c r="D6" s="4" t="s">
        <v>38</v>
      </c>
      <c r="E6" s="4" t="s">
        <v>25</v>
      </c>
      <c r="F6" s="4" t="s">
        <v>25</v>
      </c>
      <c r="G6" s="4" t="s">
        <v>25</v>
      </c>
      <c r="H6" s="4" t="s">
        <v>35</v>
      </c>
      <c r="I6" s="5">
        <v>44501</v>
      </c>
      <c r="J6" s="6">
        <v>0</v>
      </c>
      <c r="K6" s="6">
        <v>0</v>
      </c>
      <c r="L6" s="6">
        <v>16.108000000000001</v>
      </c>
      <c r="M6" s="6">
        <v>16.108000000000001</v>
      </c>
      <c r="N6" s="6">
        <v>16.108000000000001</v>
      </c>
      <c r="O6" s="6">
        <v>16.108000000000001</v>
      </c>
      <c r="P6" s="6">
        <v>0</v>
      </c>
      <c r="Q6" s="4" t="s">
        <v>26</v>
      </c>
      <c r="R6" s="4">
        <v>0</v>
      </c>
      <c r="S6" s="4" t="s">
        <v>91</v>
      </c>
      <c r="T6" s="4" t="s">
        <v>251</v>
      </c>
      <c r="U6" s="4">
        <v>0</v>
      </c>
      <c r="V6" s="4">
        <v>21</v>
      </c>
      <c r="W6" s="4">
        <v>48</v>
      </c>
    </row>
    <row r="7" spans="1:23" ht="11.25" customHeight="1" x14ac:dyDescent="0.25">
      <c r="A7" s="4" t="s">
        <v>21</v>
      </c>
      <c r="B7" s="4" t="s">
        <v>39</v>
      </c>
      <c r="C7" s="4" t="s">
        <v>40</v>
      </c>
      <c r="D7" s="4" t="s">
        <v>38</v>
      </c>
      <c r="E7" s="4" t="s">
        <v>25</v>
      </c>
      <c r="F7" s="4" t="s">
        <v>25</v>
      </c>
      <c r="G7" s="4" t="s">
        <v>25</v>
      </c>
      <c r="H7" s="4" t="s">
        <v>35</v>
      </c>
      <c r="I7" s="5">
        <v>44531</v>
      </c>
      <c r="J7" s="6">
        <v>0</v>
      </c>
      <c r="K7" s="6">
        <v>0</v>
      </c>
      <c r="L7" s="6">
        <v>13.367000000000001</v>
      </c>
      <c r="M7" s="6">
        <v>13.367000000000001</v>
      </c>
      <c r="N7" s="6">
        <v>13.367000000000001</v>
      </c>
      <c r="O7" s="6">
        <v>13.367000000000001</v>
      </c>
      <c r="P7" s="6">
        <v>0</v>
      </c>
      <c r="Q7" s="4" t="s">
        <v>26</v>
      </c>
      <c r="R7" s="4">
        <v>0</v>
      </c>
      <c r="S7" s="4" t="s">
        <v>92</v>
      </c>
      <c r="T7" s="4" t="s">
        <v>252</v>
      </c>
      <c r="U7" s="4">
        <v>0</v>
      </c>
      <c r="V7" s="4">
        <v>21</v>
      </c>
      <c r="W7" s="4">
        <v>48</v>
      </c>
    </row>
    <row r="8" spans="1:23" ht="11.25" customHeight="1" x14ac:dyDescent="0.25">
      <c r="A8" s="4" t="s">
        <v>21</v>
      </c>
      <c r="B8" s="4" t="s">
        <v>39</v>
      </c>
      <c r="C8" s="4" t="s">
        <v>40</v>
      </c>
      <c r="D8" s="4" t="s">
        <v>38</v>
      </c>
      <c r="E8" s="4" t="s">
        <v>25</v>
      </c>
      <c r="F8" s="4" t="s">
        <v>25</v>
      </c>
      <c r="G8" s="4" t="s">
        <v>25</v>
      </c>
      <c r="H8" s="4" t="s">
        <v>35</v>
      </c>
      <c r="I8" s="5">
        <v>44562</v>
      </c>
      <c r="J8" s="6">
        <v>0</v>
      </c>
      <c r="K8" s="6">
        <v>0</v>
      </c>
      <c r="L8" s="6">
        <v>11.331</v>
      </c>
      <c r="M8" s="6">
        <v>11.331</v>
      </c>
      <c r="N8" s="6">
        <v>11.331</v>
      </c>
      <c r="O8" s="6">
        <v>11.331</v>
      </c>
      <c r="P8" s="6">
        <v>0</v>
      </c>
      <c r="Q8" s="4" t="s">
        <v>26</v>
      </c>
      <c r="R8" s="4">
        <v>0</v>
      </c>
      <c r="S8" s="4" t="s">
        <v>93</v>
      </c>
      <c r="T8" s="4" t="s">
        <v>253</v>
      </c>
      <c r="U8" s="4">
        <v>0</v>
      </c>
      <c r="V8" s="4">
        <v>21</v>
      </c>
      <c r="W8" s="4">
        <v>48</v>
      </c>
    </row>
    <row r="9" spans="1:23" ht="11.25" customHeight="1" x14ac:dyDescent="0.25">
      <c r="A9" s="4" t="s">
        <v>21</v>
      </c>
      <c r="B9" s="4" t="s">
        <v>39</v>
      </c>
      <c r="C9" s="4" t="s">
        <v>40</v>
      </c>
      <c r="D9" s="4" t="s">
        <v>38</v>
      </c>
      <c r="E9" s="4" t="s">
        <v>25</v>
      </c>
      <c r="F9" s="4" t="s">
        <v>25</v>
      </c>
      <c r="G9" s="4" t="s">
        <v>25</v>
      </c>
      <c r="H9" s="4" t="s">
        <v>35</v>
      </c>
      <c r="I9" s="5">
        <v>44593</v>
      </c>
      <c r="J9" s="6">
        <v>0</v>
      </c>
      <c r="K9" s="6">
        <v>0</v>
      </c>
      <c r="L9" s="6">
        <v>29.956</v>
      </c>
      <c r="M9" s="6">
        <v>29.956</v>
      </c>
      <c r="N9" s="6">
        <v>29.956</v>
      </c>
      <c r="O9" s="6">
        <v>29.956</v>
      </c>
      <c r="P9" s="6">
        <v>0</v>
      </c>
      <c r="Q9" s="4" t="s">
        <v>26</v>
      </c>
      <c r="R9" s="4">
        <v>0</v>
      </c>
      <c r="S9" s="4" t="s">
        <v>94</v>
      </c>
      <c r="T9" s="4" t="s">
        <v>254</v>
      </c>
      <c r="U9" s="4">
        <v>0</v>
      </c>
      <c r="V9" s="4">
        <v>21</v>
      </c>
      <c r="W9" s="4">
        <v>48</v>
      </c>
    </row>
    <row r="10" spans="1:23" ht="11.25" customHeight="1" x14ac:dyDescent="0.25">
      <c r="A10" s="4" t="s">
        <v>21</v>
      </c>
      <c r="B10" s="4" t="s">
        <v>39</v>
      </c>
      <c r="C10" s="4" t="s">
        <v>40</v>
      </c>
      <c r="D10" s="4" t="s">
        <v>38</v>
      </c>
      <c r="E10" s="4" t="s">
        <v>25</v>
      </c>
      <c r="F10" s="4" t="s">
        <v>25</v>
      </c>
      <c r="G10" s="4" t="s">
        <v>25</v>
      </c>
      <c r="H10" s="4" t="s">
        <v>35</v>
      </c>
      <c r="I10" s="5">
        <v>44621</v>
      </c>
      <c r="J10" s="6">
        <v>0</v>
      </c>
      <c r="K10" s="6">
        <v>0</v>
      </c>
      <c r="L10" s="6">
        <v>60.271000000000001</v>
      </c>
      <c r="M10" s="6">
        <v>60.271000000000001</v>
      </c>
      <c r="N10" s="6">
        <v>60.271000000000001</v>
      </c>
      <c r="O10" s="6">
        <v>60.271000000000001</v>
      </c>
      <c r="P10" s="6">
        <v>0</v>
      </c>
      <c r="Q10" s="4" t="s">
        <v>26</v>
      </c>
      <c r="R10" s="4">
        <v>0</v>
      </c>
      <c r="S10" s="4" t="s">
        <v>95</v>
      </c>
      <c r="T10" s="4" t="s">
        <v>255</v>
      </c>
      <c r="U10" s="4">
        <v>0</v>
      </c>
      <c r="V10" s="4">
        <v>21</v>
      </c>
      <c r="W10" s="4">
        <v>48</v>
      </c>
    </row>
    <row r="11" spans="1:23" ht="11.25" customHeight="1" x14ac:dyDescent="0.25">
      <c r="A11" s="4" t="s">
        <v>21</v>
      </c>
      <c r="B11" s="4" t="s">
        <v>39</v>
      </c>
      <c r="C11" s="4" t="s">
        <v>40</v>
      </c>
      <c r="D11" s="4" t="s">
        <v>38</v>
      </c>
      <c r="E11" s="4" t="s">
        <v>25</v>
      </c>
      <c r="F11" s="4" t="s">
        <v>25</v>
      </c>
      <c r="G11" s="4" t="s">
        <v>25</v>
      </c>
      <c r="H11" s="4" t="s">
        <v>35</v>
      </c>
      <c r="I11" s="5">
        <v>44652</v>
      </c>
      <c r="J11" s="6">
        <v>0</v>
      </c>
      <c r="K11" s="6">
        <v>0</v>
      </c>
      <c r="L11" s="6">
        <v>50.097000000000001</v>
      </c>
      <c r="M11" s="6">
        <v>50.097000000000001</v>
      </c>
      <c r="N11" s="6">
        <v>50.097000000000001</v>
      </c>
      <c r="O11" s="6">
        <v>50.097000000000001</v>
      </c>
      <c r="P11" s="6">
        <v>0</v>
      </c>
      <c r="Q11" s="4" t="s">
        <v>26</v>
      </c>
      <c r="R11" s="4">
        <v>0</v>
      </c>
      <c r="S11" s="4" t="s">
        <v>96</v>
      </c>
      <c r="T11" s="4" t="s">
        <v>256</v>
      </c>
      <c r="U11" s="4">
        <v>0</v>
      </c>
      <c r="V11" s="4">
        <v>21</v>
      </c>
      <c r="W11" s="4">
        <v>48</v>
      </c>
    </row>
    <row r="12" spans="1:23" ht="11.25" customHeight="1" x14ac:dyDescent="0.25">
      <c r="A12" s="4" t="s">
        <v>21</v>
      </c>
      <c r="B12" s="4" t="s">
        <v>39</v>
      </c>
      <c r="C12" s="4" t="s">
        <v>40</v>
      </c>
      <c r="D12" s="4" t="s">
        <v>38</v>
      </c>
      <c r="E12" s="4" t="s">
        <v>25</v>
      </c>
      <c r="F12" s="4" t="s">
        <v>25</v>
      </c>
      <c r="G12" s="4" t="s">
        <v>25</v>
      </c>
      <c r="H12" s="4" t="s">
        <v>35</v>
      </c>
      <c r="I12" s="5">
        <v>44682</v>
      </c>
      <c r="J12" s="6">
        <v>0</v>
      </c>
      <c r="K12" s="6">
        <v>0</v>
      </c>
      <c r="L12" s="6">
        <v>64.269000000000005</v>
      </c>
      <c r="M12" s="6">
        <v>64.269000000000005</v>
      </c>
      <c r="N12" s="6">
        <v>64.269000000000005</v>
      </c>
      <c r="O12" s="6">
        <v>64.269000000000005</v>
      </c>
      <c r="P12" s="6">
        <v>0</v>
      </c>
      <c r="Q12" s="4" t="s">
        <v>26</v>
      </c>
      <c r="R12" s="4">
        <v>0</v>
      </c>
      <c r="S12" s="4" t="s">
        <v>97</v>
      </c>
      <c r="T12" s="4" t="s">
        <v>257</v>
      </c>
      <c r="U12" s="4">
        <v>0</v>
      </c>
      <c r="V12" s="4">
        <v>21</v>
      </c>
      <c r="W12" s="4">
        <v>48</v>
      </c>
    </row>
    <row r="13" spans="1:23" ht="11.25" customHeight="1" x14ac:dyDescent="0.25">
      <c r="A13" s="4" t="s">
        <v>21</v>
      </c>
      <c r="B13" s="4" t="s">
        <v>39</v>
      </c>
      <c r="C13" s="4" t="s">
        <v>40</v>
      </c>
      <c r="D13" s="4" t="s">
        <v>38</v>
      </c>
      <c r="E13" s="4" t="s">
        <v>25</v>
      </c>
      <c r="F13" s="4" t="s">
        <v>25</v>
      </c>
      <c r="G13" s="4" t="s">
        <v>25</v>
      </c>
      <c r="H13" s="4" t="s">
        <v>35</v>
      </c>
      <c r="I13" s="5">
        <v>44713</v>
      </c>
      <c r="J13" s="6">
        <v>0</v>
      </c>
      <c r="K13" s="6">
        <v>0</v>
      </c>
      <c r="L13" s="6">
        <v>67.215000000000003</v>
      </c>
      <c r="M13" s="6">
        <v>67.215000000000003</v>
      </c>
      <c r="N13" s="6">
        <v>67.215000000000003</v>
      </c>
      <c r="O13" s="6">
        <v>67.215000000000003</v>
      </c>
      <c r="P13" s="6">
        <v>0</v>
      </c>
      <c r="Q13" s="4" t="s">
        <v>26</v>
      </c>
      <c r="R13" s="4">
        <v>0</v>
      </c>
      <c r="S13" s="4" t="s">
        <v>98</v>
      </c>
      <c r="T13" s="4" t="s">
        <v>258</v>
      </c>
      <c r="U13" s="4">
        <v>0</v>
      </c>
      <c r="V13" s="4">
        <v>21</v>
      </c>
      <c r="W13" s="4">
        <v>48</v>
      </c>
    </row>
    <row r="14" spans="1:23" ht="11.25" customHeight="1" x14ac:dyDescent="0.25">
      <c r="A14" s="4" t="s">
        <v>21</v>
      </c>
      <c r="B14" s="4" t="s">
        <v>39</v>
      </c>
      <c r="C14" s="4" t="s">
        <v>40</v>
      </c>
      <c r="D14" s="4" t="s">
        <v>38</v>
      </c>
      <c r="E14" s="4" t="s">
        <v>25</v>
      </c>
      <c r="F14" s="4" t="s">
        <v>25</v>
      </c>
      <c r="G14" s="4" t="s">
        <v>25</v>
      </c>
      <c r="H14" s="4" t="s">
        <v>25</v>
      </c>
      <c r="I14" s="5">
        <v>44378</v>
      </c>
      <c r="J14" s="6">
        <v>292</v>
      </c>
      <c r="K14" s="6">
        <v>292</v>
      </c>
      <c r="L14" s="6">
        <v>0</v>
      </c>
      <c r="M14" s="6">
        <v>0</v>
      </c>
      <c r="N14" s="6">
        <v>0</v>
      </c>
      <c r="O14" s="6">
        <v>0</v>
      </c>
      <c r="P14" s="6">
        <v>2</v>
      </c>
      <c r="Q14" s="4" t="s">
        <v>26</v>
      </c>
      <c r="R14" s="4">
        <v>0</v>
      </c>
      <c r="S14" s="4" t="s">
        <v>99</v>
      </c>
      <c r="U14" s="4">
        <v>3</v>
      </c>
      <c r="V14" s="4">
        <v>0</v>
      </c>
      <c r="W14" s="4">
        <v>0</v>
      </c>
    </row>
    <row r="15" spans="1:23" ht="11.25" customHeight="1" x14ac:dyDescent="0.25">
      <c r="A15" s="4" t="s">
        <v>21</v>
      </c>
      <c r="B15" s="4" t="s">
        <v>39</v>
      </c>
      <c r="C15" s="4" t="s">
        <v>40</v>
      </c>
      <c r="D15" s="4" t="s">
        <v>38</v>
      </c>
      <c r="E15" s="4" t="s">
        <v>25</v>
      </c>
      <c r="F15" s="4" t="s">
        <v>25</v>
      </c>
      <c r="G15" s="4" t="s">
        <v>25</v>
      </c>
      <c r="H15" s="4" t="s">
        <v>25</v>
      </c>
      <c r="I15" s="5">
        <v>44409</v>
      </c>
      <c r="J15" s="6">
        <v>297</v>
      </c>
      <c r="K15" s="6">
        <v>297</v>
      </c>
      <c r="L15" s="6">
        <v>0</v>
      </c>
      <c r="M15" s="6">
        <v>0</v>
      </c>
      <c r="N15" s="6">
        <v>0</v>
      </c>
      <c r="O15" s="6">
        <v>0</v>
      </c>
      <c r="P15" s="6">
        <v>2</v>
      </c>
      <c r="Q15" s="4" t="s">
        <v>26</v>
      </c>
      <c r="R15" s="4">
        <v>0</v>
      </c>
      <c r="S15" s="4" t="s">
        <v>100</v>
      </c>
      <c r="U15" s="4">
        <v>3</v>
      </c>
      <c r="V15" s="4">
        <v>0</v>
      </c>
      <c r="W15" s="4">
        <v>0</v>
      </c>
    </row>
    <row r="16" spans="1:23" ht="11.25" customHeight="1" x14ac:dyDescent="0.25">
      <c r="A16" s="4" t="s">
        <v>21</v>
      </c>
      <c r="B16" s="4" t="s">
        <v>39</v>
      </c>
      <c r="C16" s="4" t="s">
        <v>40</v>
      </c>
      <c r="D16" s="4" t="s">
        <v>38</v>
      </c>
      <c r="E16" s="4" t="s">
        <v>25</v>
      </c>
      <c r="F16" s="4" t="s">
        <v>25</v>
      </c>
      <c r="G16" s="4" t="s">
        <v>25</v>
      </c>
      <c r="H16" s="4" t="s">
        <v>25</v>
      </c>
      <c r="I16" s="5">
        <v>44440</v>
      </c>
      <c r="J16" s="6">
        <v>381</v>
      </c>
      <c r="K16" s="6">
        <v>381</v>
      </c>
      <c r="L16" s="6">
        <v>0</v>
      </c>
      <c r="M16" s="6">
        <v>0</v>
      </c>
      <c r="N16" s="6">
        <v>0</v>
      </c>
      <c r="O16" s="6">
        <v>0</v>
      </c>
      <c r="P16" s="6">
        <v>2</v>
      </c>
      <c r="Q16" s="4" t="s">
        <v>26</v>
      </c>
      <c r="R16" s="4">
        <v>0</v>
      </c>
      <c r="S16" s="4" t="s">
        <v>101</v>
      </c>
      <c r="U16" s="4">
        <v>3</v>
      </c>
      <c r="V16" s="4">
        <v>0</v>
      </c>
      <c r="W16" s="4">
        <v>0</v>
      </c>
    </row>
    <row r="17" spans="1:23" ht="11.25" customHeight="1" x14ac:dyDescent="0.25">
      <c r="A17" s="4" t="s">
        <v>21</v>
      </c>
      <c r="B17" s="4" t="s">
        <v>39</v>
      </c>
      <c r="C17" s="4" t="s">
        <v>40</v>
      </c>
      <c r="D17" s="4" t="s">
        <v>38</v>
      </c>
      <c r="E17" s="4" t="s">
        <v>25</v>
      </c>
      <c r="F17" s="4" t="s">
        <v>25</v>
      </c>
      <c r="G17" s="4" t="s">
        <v>25</v>
      </c>
      <c r="H17" s="4" t="s">
        <v>25</v>
      </c>
      <c r="I17" s="5">
        <v>44470</v>
      </c>
      <c r="J17" s="6">
        <v>280</v>
      </c>
      <c r="K17" s="6">
        <v>280</v>
      </c>
      <c r="L17" s="6">
        <v>0</v>
      </c>
      <c r="M17" s="6">
        <v>0</v>
      </c>
      <c r="N17" s="6">
        <v>0</v>
      </c>
      <c r="O17" s="6">
        <v>0</v>
      </c>
      <c r="P17" s="6">
        <v>2</v>
      </c>
      <c r="Q17" s="4" t="s">
        <v>26</v>
      </c>
      <c r="R17" s="4">
        <v>0</v>
      </c>
      <c r="S17" s="4" t="s">
        <v>102</v>
      </c>
      <c r="U17" s="4">
        <v>3</v>
      </c>
      <c r="V17" s="4">
        <v>0</v>
      </c>
      <c r="W17" s="4">
        <v>0</v>
      </c>
    </row>
    <row r="18" spans="1:23" ht="11.25" customHeight="1" x14ac:dyDescent="0.25">
      <c r="A18" s="4" t="s">
        <v>21</v>
      </c>
      <c r="B18" s="4" t="s">
        <v>39</v>
      </c>
      <c r="C18" s="4" t="s">
        <v>40</v>
      </c>
      <c r="D18" s="4" t="s">
        <v>38</v>
      </c>
      <c r="E18" s="4" t="s">
        <v>25</v>
      </c>
      <c r="F18" s="4" t="s">
        <v>25</v>
      </c>
      <c r="G18" s="4" t="s">
        <v>25</v>
      </c>
      <c r="H18" s="4" t="s">
        <v>25</v>
      </c>
      <c r="I18" s="5">
        <v>44501</v>
      </c>
      <c r="J18" s="6">
        <v>280</v>
      </c>
      <c r="K18" s="6">
        <v>280</v>
      </c>
      <c r="L18" s="6">
        <v>0</v>
      </c>
      <c r="M18" s="6">
        <v>0</v>
      </c>
      <c r="N18" s="6">
        <v>0</v>
      </c>
      <c r="O18" s="6">
        <v>0</v>
      </c>
      <c r="P18" s="6">
        <v>2</v>
      </c>
      <c r="Q18" s="4" t="s">
        <v>26</v>
      </c>
      <c r="R18" s="4">
        <v>0</v>
      </c>
      <c r="S18" s="4" t="s">
        <v>103</v>
      </c>
      <c r="U18" s="4">
        <v>3</v>
      </c>
      <c r="V18" s="4">
        <v>0</v>
      </c>
      <c r="W18" s="4">
        <v>0</v>
      </c>
    </row>
    <row r="19" spans="1:23" ht="11.25" customHeight="1" x14ac:dyDescent="0.25">
      <c r="A19" s="4" t="s">
        <v>21</v>
      </c>
      <c r="B19" s="4" t="s">
        <v>39</v>
      </c>
      <c r="C19" s="4" t="s">
        <v>40</v>
      </c>
      <c r="D19" s="4" t="s">
        <v>38</v>
      </c>
      <c r="E19" s="4" t="s">
        <v>25</v>
      </c>
      <c r="F19" s="4" t="s">
        <v>25</v>
      </c>
      <c r="G19" s="4" t="s">
        <v>25</v>
      </c>
      <c r="H19" s="4" t="s">
        <v>25</v>
      </c>
      <c r="I19" s="5">
        <v>44531</v>
      </c>
      <c r="J19" s="6">
        <v>280</v>
      </c>
      <c r="K19" s="6">
        <v>280</v>
      </c>
      <c r="L19" s="6">
        <v>0</v>
      </c>
      <c r="M19" s="6">
        <v>0</v>
      </c>
      <c r="N19" s="6">
        <v>0</v>
      </c>
      <c r="O19" s="6">
        <v>0</v>
      </c>
      <c r="P19" s="6">
        <v>2</v>
      </c>
      <c r="Q19" s="4" t="s">
        <v>26</v>
      </c>
      <c r="R19" s="4">
        <v>0</v>
      </c>
      <c r="S19" s="4" t="s">
        <v>104</v>
      </c>
      <c r="U19" s="4">
        <v>3</v>
      </c>
      <c r="V19" s="4">
        <v>0</v>
      </c>
      <c r="W19" s="4">
        <v>0</v>
      </c>
    </row>
    <row r="20" spans="1:23" ht="11.25" customHeight="1" x14ac:dyDescent="0.25">
      <c r="A20" s="4" t="s">
        <v>21</v>
      </c>
      <c r="B20" s="4" t="s">
        <v>39</v>
      </c>
      <c r="C20" s="4" t="s">
        <v>40</v>
      </c>
      <c r="D20" s="4" t="s">
        <v>38</v>
      </c>
      <c r="E20" s="4" t="s">
        <v>25</v>
      </c>
      <c r="F20" s="4" t="s">
        <v>25</v>
      </c>
      <c r="G20" s="4" t="s">
        <v>25</v>
      </c>
      <c r="H20" s="4" t="s">
        <v>25</v>
      </c>
      <c r="I20" s="5">
        <v>44562</v>
      </c>
      <c r="J20" s="6">
        <v>280</v>
      </c>
      <c r="K20" s="6">
        <v>280</v>
      </c>
      <c r="L20" s="6">
        <v>0</v>
      </c>
      <c r="M20" s="6">
        <v>0</v>
      </c>
      <c r="N20" s="6">
        <v>0</v>
      </c>
      <c r="O20" s="6">
        <v>0</v>
      </c>
      <c r="P20" s="6">
        <v>2</v>
      </c>
      <c r="Q20" s="4" t="s">
        <v>26</v>
      </c>
      <c r="R20" s="4">
        <v>0</v>
      </c>
      <c r="S20" s="4" t="s">
        <v>105</v>
      </c>
      <c r="U20" s="4">
        <v>3</v>
      </c>
      <c r="V20" s="4">
        <v>0</v>
      </c>
      <c r="W20" s="4">
        <v>0</v>
      </c>
    </row>
    <row r="21" spans="1:23" ht="11.25" customHeight="1" x14ac:dyDescent="0.25">
      <c r="A21" s="4" t="s">
        <v>21</v>
      </c>
      <c r="B21" s="4" t="s">
        <v>39</v>
      </c>
      <c r="C21" s="4" t="s">
        <v>40</v>
      </c>
      <c r="D21" s="4" t="s">
        <v>38</v>
      </c>
      <c r="E21" s="4" t="s">
        <v>25</v>
      </c>
      <c r="F21" s="4" t="s">
        <v>25</v>
      </c>
      <c r="G21" s="4" t="s">
        <v>25</v>
      </c>
      <c r="H21" s="4" t="s">
        <v>25</v>
      </c>
      <c r="I21" s="5">
        <v>44593</v>
      </c>
      <c r="J21" s="6">
        <v>280</v>
      </c>
      <c r="K21" s="6">
        <v>280</v>
      </c>
      <c r="L21" s="6">
        <v>0</v>
      </c>
      <c r="M21" s="6">
        <v>0</v>
      </c>
      <c r="N21" s="6">
        <v>0</v>
      </c>
      <c r="O21" s="6">
        <v>0</v>
      </c>
      <c r="P21" s="6">
        <v>2</v>
      </c>
      <c r="Q21" s="4" t="s">
        <v>26</v>
      </c>
      <c r="R21" s="4">
        <v>0</v>
      </c>
      <c r="S21" s="4" t="s">
        <v>106</v>
      </c>
      <c r="U21" s="4">
        <v>3</v>
      </c>
      <c r="V21" s="4">
        <v>0</v>
      </c>
      <c r="W21" s="4">
        <v>0</v>
      </c>
    </row>
    <row r="22" spans="1:23" ht="11.25" customHeight="1" x14ac:dyDescent="0.25">
      <c r="A22" s="4" t="s">
        <v>21</v>
      </c>
      <c r="B22" s="4" t="s">
        <v>39</v>
      </c>
      <c r="C22" s="4" t="s">
        <v>40</v>
      </c>
      <c r="D22" s="4" t="s">
        <v>38</v>
      </c>
      <c r="E22" s="4" t="s">
        <v>25</v>
      </c>
      <c r="F22" s="4" t="s">
        <v>25</v>
      </c>
      <c r="G22" s="4" t="s">
        <v>25</v>
      </c>
      <c r="H22" s="4" t="s">
        <v>25</v>
      </c>
      <c r="I22" s="5">
        <v>44621</v>
      </c>
      <c r="J22" s="6">
        <v>192</v>
      </c>
      <c r="K22" s="6">
        <v>192</v>
      </c>
      <c r="L22" s="6">
        <v>0</v>
      </c>
      <c r="M22" s="6">
        <v>0</v>
      </c>
      <c r="N22" s="6">
        <v>0</v>
      </c>
      <c r="O22" s="6">
        <v>0</v>
      </c>
      <c r="P22" s="6">
        <v>2</v>
      </c>
      <c r="Q22" s="4" t="s">
        <v>26</v>
      </c>
      <c r="R22" s="4">
        <v>0</v>
      </c>
      <c r="S22" s="4" t="s">
        <v>107</v>
      </c>
      <c r="U22" s="4">
        <v>3</v>
      </c>
      <c r="V22" s="4">
        <v>0</v>
      </c>
      <c r="W22" s="4">
        <v>0</v>
      </c>
    </row>
    <row r="23" spans="1:23" ht="11.25" customHeight="1" x14ac:dyDescent="0.25">
      <c r="A23" s="4" t="s">
        <v>21</v>
      </c>
      <c r="B23" s="4" t="s">
        <v>39</v>
      </c>
      <c r="C23" s="4" t="s">
        <v>40</v>
      </c>
      <c r="D23" s="4" t="s">
        <v>38</v>
      </c>
      <c r="E23" s="4" t="s">
        <v>25</v>
      </c>
      <c r="F23" s="4" t="s">
        <v>25</v>
      </c>
      <c r="G23" s="4" t="s">
        <v>25</v>
      </c>
      <c r="H23" s="4" t="s">
        <v>25</v>
      </c>
      <c r="I23" s="5">
        <v>44652</v>
      </c>
      <c r="J23" s="6">
        <v>195</v>
      </c>
      <c r="K23" s="6">
        <v>195</v>
      </c>
      <c r="L23" s="6">
        <v>0</v>
      </c>
      <c r="M23" s="6">
        <v>0</v>
      </c>
      <c r="N23" s="6">
        <v>0</v>
      </c>
      <c r="O23" s="6">
        <v>0</v>
      </c>
      <c r="P23" s="6">
        <v>2</v>
      </c>
      <c r="Q23" s="4" t="s">
        <v>26</v>
      </c>
      <c r="R23" s="4">
        <v>0</v>
      </c>
      <c r="S23" s="4" t="s">
        <v>108</v>
      </c>
      <c r="U23" s="4">
        <v>3</v>
      </c>
      <c r="V23" s="4">
        <v>0</v>
      </c>
      <c r="W23" s="4">
        <v>0</v>
      </c>
    </row>
    <row r="24" spans="1:23" ht="11.25" customHeight="1" x14ac:dyDescent="0.25">
      <c r="A24" s="4" t="s">
        <v>21</v>
      </c>
      <c r="B24" s="4" t="s">
        <v>39</v>
      </c>
      <c r="C24" s="4" t="s">
        <v>40</v>
      </c>
      <c r="D24" s="4" t="s">
        <v>38</v>
      </c>
      <c r="E24" s="4" t="s">
        <v>25</v>
      </c>
      <c r="F24" s="4" t="s">
        <v>25</v>
      </c>
      <c r="G24" s="4" t="s">
        <v>25</v>
      </c>
      <c r="H24" s="4" t="s">
        <v>25</v>
      </c>
      <c r="I24" s="5">
        <v>44682</v>
      </c>
      <c r="J24" s="6">
        <v>190</v>
      </c>
      <c r="K24" s="6">
        <v>190</v>
      </c>
      <c r="L24" s="6">
        <v>0</v>
      </c>
      <c r="M24" s="6">
        <v>0</v>
      </c>
      <c r="N24" s="6">
        <v>0</v>
      </c>
      <c r="O24" s="6">
        <v>0</v>
      </c>
      <c r="P24" s="6">
        <v>2</v>
      </c>
      <c r="Q24" s="4" t="s">
        <v>26</v>
      </c>
      <c r="R24" s="4">
        <v>0</v>
      </c>
      <c r="S24" s="4" t="s">
        <v>109</v>
      </c>
      <c r="U24" s="4">
        <v>3</v>
      </c>
      <c r="V24" s="4">
        <v>0</v>
      </c>
      <c r="W24" s="4">
        <v>0</v>
      </c>
    </row>
    <row r="25" spans="1:23" ht="11.25" customHeight="1" x14ac:dyDescent="0.25">
      <c r="A25" s="4" t="s">
        <v>21</v>
      </c>
      <c r="B25" s="4" t="s">
        <v>39</v>
      </c>
      <c r="C25" s="4" t="s">
        <v>40</v>
      </c>
      <c r="D25" s="4" t="s">
        <v>38</v>
      </c>
      <c r="E25" s="4" t="s">
        <v>25</v>
      </c>
      <c r="F25" s="4" t="s">
        <v>25</v>
      </c>
      <c r="G25" s="4" t="s">
        <v>25</v>
      </c>
      <c r="H25" s="4" t="s">
        <v>25</v>
      </c>
      <c r="I25" s="5">
        <v>44713</v>
      </c>
      <c r="J25" s="6">
        <v>193</v>
      </c>
      <c r="K25" s="6">
        <v>193</v>
      </c>
      <c r="L25" s="6">
        <v>0</v>
      </c>
      <c r="M25" s="6">
        <v>0</v>
      </c>
      <c r="N25" s="6">
        <v>0</v>
      </c>
      <c r="O25" s="6">
        <v>0</v>
      </c>
      <c r="P25" s="6">
        <v>2</v>
      </c>
      <c r="Q25" s="4" t="s">
        <v>26</v>
      </c>
      <c r="R25" s="4">
        <v>0</v>
      </c>
      <c r="S25" s="4" t="s">
        <v>110</v>
      </c>
      <c r="U25" s="4">
        <v>3</v>
      </c>
      <c r="V25" s="4">
        <v>0</v>
      </c>
      <c r="W25" s="4">
        <v>0</v>
      </c>
    </row>
    <row r="26" spans="1:23" ht="11.25" customHeight="1" x14ac:dyDescent="0.25">
      <c r="A26" s="4" t="s">
        <v>21</v>
      </c>
      <c r="B26" s="4" t="s">
        <v>39</v>
      </c>
      <c r="C26" s="4" t="s">
        <v>40</v>
      </c>
      <c r="D26" s="4" t="s">
        <v>38</v>
      </c>
      <c r="E26" s="4" t="s">
        <v>25</v>
      </c>
      <c r="F26" s="4" t="s">
        <v>25</v>
      </c>
      <c r="G26" s="4" t="s">
        <v>25</v>
      </c>
      <c r="H26" s="4" t="s">
        <v>34</v>
      </c>
      <c r="I26" s="5">
        <v>44378</v>
      </c>
      <c r="J26" s="6">
        <v>0</v>
      </c>
      <c r="K26" s="6">
        <v>0</v>
      </c>
      <c r="L26" s="6">
        <v>1.4350000000000001</v>
      </c>
      <c r="M26" s="6">
        <v>1.4350000000000001</v>
      </c>
      <c r="N26" s="6">
        <v>1.4350000000000001</v>
      </c>
      <c r="O26" s="6">
        <v>1.4350000000000001</v>
      </c>
      <c r="P26" s="6">
        <v>0</v>
      </c>
      <c r="Q26" s="4" t="s">
        <v>26</v>
      </c>
      <c r="R26" s="4">
        <v>0</v>
      </c>
      <c r="S26" s="4" t="s">
        <v>111</v>
      </c>
      <c r="T26" s="4" t="s">
        <v>263</v>
      </c>
      <c r="U26" s="4">
        <v>0</v>
      </c>
      <c r="V26" s="4">
        <v>23</v>
      </c>
      <c r="W26" s="4">
        <v>41</v>
      </c>
    </row>
    <row r="27" spans="1:23" ht="11.25" customHeight="1" x14ac:dyDescent="0.25">
      <c r="A27" s="4" t="s">
        <v>21</v>
      </c>
      <c r="B27" s="4" t="s">
        <v>39</v>
      </c>
      <c r="C27" s="4" t="s">
        <v>40</v>
      </c>
      <c r="D27" s="4" t="s">
        <v>38</v>
      </c>
      <c r="E27" s="4" t="s">
        <v>25</v>
      </c>
      <c r="F27" s="4" t="s">
        <v>25</v>
      </c>
      <c r="G27" s="4" t="s">
        <v>25</v>
      </c>
      <c r="H27" s="4" t="s">
        <v>34</v>
      </c>
      <c r="I27" s="5">
        <v>44409</v>
      </c>
      <c r="J27" s="6">
        <v>0</v>
      </c>
      <c r="K27" s="6">
        <v>0</v>
      </c>
      <c r="L27" s="6">
        <v>2.7229999999999999</v>
      </c>
      <c r="M27" s="6">
        <v>2.7229999999999999</v>
      </c>
      <c r="N27" s="6">
        <v>2.7229999999999999</v>
      </c>
      <c r="O27" s="6">
        <v>2.7229999999999999</v>
      </c>
      <c r="P27" s="6">
        <v>0</v>
      </c>
      <c r="Q27" s="4" t="s">
        <v>26</v>
      </c>
      <c r="R27" s="4">
        <v>0</v>
      </c>
      <c r="S27" s="4" t="s">
        <v>112</v>
      </c>
      <c r="T27" s="4" t="s">
        <v>264</v>
      </c>
      <c r="U27" s="4">
        <v>0</v>
      </c>
      <c r="V27" s="4">
        <v>23</v>
      </c>
      <c r="W27" s="4">
        <v>41</v>
      </c>
    </row>
    <row r="28" spans="1:23" ht="11.25" customHeight="1" x14ac:dyDescent="0.25">
      <c r="A28" s="4" t="s">
        <v>21</v>
      </c>
      <c r="B28" s="4" t="s">
        <v>39</v>
      </c>
      <c r="C28" s="4" t="s">
        <v>40</v>
      </c>
      <c r="D28" s="4" t="s">
        <v>38</v>
      </c>
      <c r="E28" s="4" t="s">
        <v>25</v>
      </c>
      <c r="F28" s="4" t="s">
        <v>25</v>
      </c>
      <c r="G28" s="4" t="s">
        <v>25</v>
      </c>
      <c r="H28" s="4" t="s">
        <v>34</v>
      </c>
      <c r="I28" s="5">
        <v>44440</v>
      </c>
      <c r="J28" s="6">
        <v>0</v>
      </c>
      <c r="K28" s="6">
        <v>0</v>
      </c>
      <c r="L28" s="6">
        <v>4.6050000000000004</v>
      </c>
      <c r="M28" s="6">
        <v>4.6050000000000004</v>
      </c>
      <c r="N28" s="6">
        <v>4.6050000000000004</v>
      </c>
      <c r="O28" s="6">
        <v>4.6050000000000004</v>
      </c>
      <c r="P28" s="6">
        <v>0</v>
      </c>
      <c r="Q28" s="4" t="s">
        <v>26</v>
      </c>
      <c r="R28" s="4">
        <v>0</v>
      </c>
      <c r="S28" s="4" t="s">
        <v>113</v>
      </c>
      <c r="T28" s="4" t="s">
        <v>265</v>
      </c>
      <c r="U28" s="4">
        <v>0</v>
      </c>
      <c r="V28" s="4">
        <v>23</v>
      </c>
      <c r="W28" s="4">
        <v>41</v>
      </c>
    </row>
    <row r="29" spans="1:23" ht="11.25" customHeight="1" x14ac:dyDescent="0.25">
      <c r="A29" s="4" t="s">
        <v>21</v>
      </c>
      <c r="B29" s="4" t="s">
        <v>39</v>
      </c>
      <c r="C29" s="4" t="s">
        <v>40</v>
      </c>
      <c r="D29" s="4" t="s">
        <v>38</v>
      </c>
      <c r="E29" s="4" t="s">
        <v>25</v>
      </c>
      <c r="F29" s="4" t="s">
        <v>25</v>
      </c>
      <c r="G29" s="4" t="s">
        <v>25</v>
      </c>
      <c r="H29" s="4" t="s">
        <v>34</v>
      </c>
      <c r="I29" s="5">
        <v>44470</v>
      </c>
      <c r="J29" s="6">
        <v>0</v>
      </c>
      <c r="K29" s="6">
        <v>0</v>
      </c>
      <c r="L29" s="6">
        <v>0.67</v>
      </c>
      <c r="M29" s="6">
        <v>0.67</v>
      </c>
      <c r="N29" s="6">
        <v>0.67</v>
      </c>
      <c r="O29" s="6">
        <v>0.67</v>
      </c>
      <c r="P29" s="6">
        <v>0</v>
      </c>
      <c r="Q29" s="4" t="s">
        <v>26</v>
      </c>
      <c r="R29" s="4">
        <v>0</v>
      </c>
      <c r="S29" s="4" t="s">
        <v>114</v>
      </c>
      <c r="T29" s="4" t="s">
        <v>266</v>
      </c>
      <c r="U29" s="4">
        <v>0</v>
      </c>
      <c r="V29" s="4">
        <v>23</v>
      </c>
      <c r="W29" s="4">
        <v>41</v>
      </c>
    </row>
    <row r="30" spans="1:23" ht="11.25" customHeight="1" x14ac:dyDescent="0.25">
      <c r="A30" s="4" t="s">
        <v>21</v>
      </c>
      <c r="B30" s="4" t="s">
        <v>39</v>
      </c>
      <c r="C30" s="4" t="s">
        <v>40</v>
      </c>
      <c r="D30" s="4" t="s">
        <v>38</v>
      </c>
      <c r="E30" s="4" t="s">
        <v>25</v>
      </c>
      <c r="F30" s="4" t="s">
        <v>25</v>
      </c>
      <c r="G30" s="4" t="s">
        <v>25</v>
      </c>
      <c r="H30" s="4" t="s">
        <v>34</v>
      </c>
      <c r="I30" s="5">
        <v>44501</v>
      </c>
      <c r="J30" s="6">
        <v>0</v>
      </c>
      <c r="K30" s="6">
        <v>0</v>
      </c>
      <c r="L30" s="6">
        <v>1.0609999999999999</v>
      </c>
      <c r="M30" s="6">
        <v>1.0609999999999999</v>
      </c>
      <c r="N30" s="6">
        <v>1.0609999999999999</v>
      </c>
      <c r="O30" s="6">
        <v>1.0609999999999999</v>
      </c>
      <c r="P30" s="6">
        <v>0</v>
      </c>
      <c r="Q30" s="4" t="s">
        <v>26</v>
      </c>
      <c r="R30" s="4">
        <v>0</v>
      </c>
      <c r="S30" s="4" t="s">
        <v>115</v>
      </c>
      <c r="T30" s="4" t="s">
        <v>267</v>
      </c>
      <c r="U30" s="4">
        <v>0</v>
      </c>
      <c r="V30" s="4">
        <v>23</v>
      </c>
      <c r="W30" s="4">
        <v>41</v>
      </c>
    </row>
    <row r="31" spans="1:23" ht="11.25" customHeight="1" x14ac:dyDescent="0.25">
      <c r="A31" s="4" t="s">
        <v>21</v>
      </c>
      <c r="B31" s="4" t="s">
        <v>39</v>
      </c>
      <c r="C31" s="4" t="s">
        <v>40</v>
      </c>
      <c r="D31" s="4" t="s">
        <v>38</v>
      </c>
      <c r="E31" s="4" t="s">
        <v>25</v>
      </c>
      <c r="F31" s="4" t="s">
        <v>25</v>
      </c>
      <c r="G31" s="4" t="s">
        <v>25</v>
      </c>
      <c r="H31" s="4" t="s">
        <v>34</v>
      </c>
      <c r="I31" s="5">
        <v>44531</v>
      </c>
      <c r="J31" s="6">
        <v>0</v>
      </c>
      <c r="K31" s="6">
        <v>0</v>
      </c>
      <c r="L31" s="6">
        <v>1.86</v>
      </c>
      <c r="M31" s="6">
        <v>1.86</v>
      </c>
      <c r="N31" s="6">
        <v>1.86</v>
      </c>
      <c r="O31" s="6">
        <v>1.86</v>
      </c>
      <c r="P31" s="6">
        <v>0</v>
      </c>
      <c r="Q31" s="4" t="s">
        <v>26</v>
      </c>
      <c r="R31" s="4">
        <v>0</v>
      </c>
      <c r="S31" s="4" t="s">
        <v>116</v>
      </c>
      <c r="T31" s="4" t="s">
        <v>268</v>
      </c>
      <c r="U31" s="4">
        <v>0</v>
      </c>
      <c r="V31" s="4">
        <v>23</v>
      </c>
      <c r="W31" s="4">
        <v>41</v>
      </c>
    </row>
    <row r="32" spans="1:23" ht="11.25" customHeight="1" x14ac:dyDescent="0.25">
      <c r="A32" s="4" t="s">
        <v>21</v>
      </c>
      <c r="B32" s="4" t="s">
        <v>39</v>
      </c>
      <c r="C32" s="4" t="s">
        <v>40</v>
      </c>
      <c r="D32" s="4" t="s">
        <v>38</v>
      </c>
      <c r="E32" s="4" t="s">
        <v>25</v>
      </c>
      <c r="F32" s="4" t="s">
        <v>25</v>
      </c>
      <c r="G32" s="4" t="s">
        <v>25</v>
      </c>
      <c r="H32" s="4" t="s">
        <v>34</v>
      </c>
      <c r="I32" s="5">
        <v>44562</v>
      </c>
      <c r="J32" s="6">
        <v>0</v>
      </c>
      <c r="K32" s="6">
        <v>0</v>
      </c>
      <c r="L32" s="6">
        <v>0.57099999999999995</v>
      </c>
      <c r="M32" s="6">
        <v>0.57099999999999995</v>
      </c>
      <c r="N32" s="6">
        <v>0.57099999999999995</v>
      </c>
      <c r="O32" s="6">
        <v>0.57099999999999995</v>
      </c>
      <c r="P32" s="6">
        <v>0</v>
      </c>
      <c r="Q32" s="4" t="s">
        <v>26</v>
      </c>
      <c r="R32" s="4">
        <v>0</v>
      </c>
      <c r="S32" s="4" t="s">
        <v>117</v>
      </c>
      <c r="T32" s="4" t="s">
        <v>269</v>
      </c>
      <c r="U32" s="4">
        <v>0</v>
      </c>
      <c r="V32" s="4">
        <v>23</v>
      </c>
      <c r="W32" s="4">
        <v>41</v>
      </c>
    </row>
    <row r="33" spans="1:23" ht="11.25" customHeight="1" x14ac:dyDescent="0.25">
      <c r="A33" s="4" t="s">
        <v>21</v>
      </c>
      <c r="B33" s="4" t="s">
        <v>39</v>
      </c>
      <c r="C33" s="4" t="s">
        <v>40</v>
      </c>
      <c r="D33" s="4" t="s">
        <v>38</v>
      </c>
      <c r="E33" s="4" t="s">
        <v>25</v>
      </c>
      <c r="F33" s="4" t="s">
        <v>25</v>
      </c>
      <c r="G33" s="4" t="s">
        <v>25</v>
      </c>
      <c r="H33" s="4" t="s">
        <v>34</v>
      </c>
      <c r="I33" s="5">
        <v>44593</v>
      </c>
      <c r="J33" s="6">
        <v>0</v>
      </c>
      <c r="K33" s="6">
        <v>0</v>
      </c>
      <c r="L33" s="6">
        <v>2.359</v>
      </c>
      <c r="M33" s="6">
        <v>2.359</v>
      </c>
      <c r="N33" s="6">
        <v>2.359</v>
      </c>
      <c r="O33" s="6">
        <v>2.359</v>
      </c>
      <c r="P33" s="6">
        <v>0</v>
      </c>
      <c r="Q33" s="4" t="s">
        <v>26</v>
      </c>
      <c r="R33" s="4">
        <v>0</v>
      </c>
      <c r="S33" s="4" t="s">
        <v>118</v>
      </c>
      <c r="T33" s="4" t="s">
        <v>270</v>
      </c>
      <c r="U33" s="4">
        <v>0</v>
      </c>
      <c r="V33" s="4">
        <v>23</v>
      </c>
      <c r="W33" s="4">
        <v>41</v>
      </c>
    </row>
    <row r="34" spans="1:23" ht="11.25" customHeight="1" x14ac:dyDescent="0.25">
      <c r="A34" s="4" t="s">
        <v>21</v>
      </c>
      <c r="B34" s="4" t="s">
        <v>39</v>
      </c>
      <c r="C34" s="4" t="s">
        <v>40</v>
      </c>
      <c r="D34" s="4" t="s">
        <v>38</v>
      </c>
      <c r="E34" s="4" t="s">
        <v>25</v>
      </c>
      <c r="F34" s="4" t="s">
        <v>25</v>
      </c>
      <c r="G34" s="4" t="s">
        <v>25</v>
      </c>
      <c r="H34" s="4" t="s">
        <v>34</v>
      </c>
      <c r="I34" s="5">
        <v>44621</v>
      </c>
      <c r="J34" s="6">
        <v>0</v>
      </c>
      <c r="K34" s="6">
        <v>0</v>
      </c>
      <c r="L34" s="6">
        <v>6.3390000000000004</v>
      </c>
      <c r="M34" s="6">
        <v>6.3390000000000004</v>
      </c>
      <c r="N34" s="6">
        <v>6.3390000000000004</v>
      </c>
      <c r="O34" s="6">
        <v>6.3390000000000004</v>
      </c>
      <c r="P34" s="6">
        <v>0</v>
      </c>
      <c r="Q34" s="4" t="s">
        <v>26</v>
      </c>
      <c r="R34" s="4">
        <v>0</v>
      </c>
      <c r="S34" s="4" t="s">
        <v>119</v>
      </c>
      <c r="T34" s="4" t="s">
        <v>271</v>
      </c>
      <c r="U34" s="4">
        <v>0</v>
      </c>
      <c r="V34" s="4">
        <v>23</v>
      </c>
      <c r="W34" s="4">
        <v>41</v>
      </c>
    </row>
    <row r="35" spans="1:23" ht="11.25" customHeight="1" x14ac:dyDescent="0.25">
      <c r="A35" s="4" t="s">
        <v>21</v>
      </c>
      <c r="B35" s="4" t="s">
        <v>39</v>
      </c>
      <c r="C35" s="4" t="s">
        <v>40</v>
      </c>
      <c r="D35" s="4" t="s">
        <v>38</v>
      </c>
      <c r="E35" s="4" t="s">
        <v>25</v>
      </c>
      <c r="F35" s="4" t="s">
        <v>25</v>
      </c>
      <c r="G35" s="4" t="s">
        <v>25</v>
      </c>
      <c r="H35" s="4" t="s">
        <v>34</v>
      </c>
      <c r="I35" s="5">
        <v>44652</v>
      </c>
      <c r="J35" s="6">
        <v>0</v>
      </c>
      <c r="K35" s="6">
        <v>0</v>
      </c>
      <c r="L35" s="6">
        <v>4.1449999999999996</v>
      </c>
      <c r="M35" s="6">
        <v>4.1449999999999996</v>
      </c>
      <c r="N35" s="6">
        <v>4.1449999999999996</v>
      </c>
      <c r="O35" s="6">
        <v>4.1449999999999996</v>
      </c>
      <c r="P35" s="6">
        <v>0</v>
      </c>
      <c r="Q35" s="4" t="s">
        <v>26</v>
      </c>
      <c r="R35" s="4">
        <v>0</v>
      </c>
      <c r="S35" s="4" t="s">
        <v>120</v>
      </c>
      <c r="T35" s="4" t="s">
        <v>272</v>
      </c>
      <c r="U35" s="4">
        <v>0</v>
      </c>
      <c r="V35" s="4">
        <v>23</v>
      </c>
      <c r="W35" s="4">
        <v>41</v>
      </c>
    </row>
    <row r="36" spans="1:23" ht="11.25" customHeight="1" x14ac:dyDescent="0.25">
      <c r="A36" s="4" t="s">
        <v>21</v>
      </c>
      <c r="B36" s="4" t="s">
        <v>39</v>
      </c>
      <c r="C36" s="4" t="s">
        <v>40</v>
      </c>
      <c r="D36" s="4" t="s">
        <v>38</v>
      </c>
      <c r="E36" s="4" t="s">
        <v>25</v>
      </c>
      <c r="F36" s="4" t="s">
        <v>25</v>
      </c>
      <c r="G36" s="4" t="s">
        <v>25</v>
      </c>
      <c r="H36" s="4" t="s">
        <v>34</v>
      </c>
      <c r="I36" s="5">
        <v>44682</v>
      </c>
      <c r="J36" s="6">
        <v>0</v>
      </c>
      <c r="K36" s="6">
        <v>0</v>
      </c>
      <c r="L36" s="6">
        <v>3.5009999999999999</v>
      </c>
      <c r="M36" s="6">
        <v>3.5009999999999999</v>
      </c>
      <c r="N36" s="6">
        <v>3.5009999999999999</v>
      </c>
      <c r="O36" s="6">
        <v>3.5009999999999999</v>
      </c>
      <c r="P36" s="6">
        <v>0</v>
      </c>
      <c r="Q36" s="4" t="s">
        <v>26</v>
      </c>
      <c r="R36" s="4">
        <v>0</v>
      </c>
      <c r="S36" s="4" t="s">
        <v>121</v>
      </c>
      <c r="T36" s="4" t="s">
        <v>273</v>
      </c>
      <c r="U36" s="4">
        <v>0</v>
      </c>
      <c r="V36" s="4">
        <v>23</v>
      </c>
      <c r="W36" s="4">
        <v>41</v>
      </c>
    </row>
    <row r="37" spans="1:23" ht="11.25" customHeight="1" x14ac:dyDescent="0.25">
      <c r="A37" s="4" t="s">
        <v>21</v>
      </c>
      <c r="B37" s="4" t="s">
        <v>39</v>
      </c>
      <c r="C37" s="4" t="s">
        <v>40</v>
      </c>
      <c r="D37" s="4" t="s">
        <v>38</v>
      </c>
      <c r="E37" s="4" t="s">
        <v>25</v>
      </c>
      <c r="F37" s="4" t="s">
        <v>25</v>
      </c>
      <c r="G37" s="4" t="s">
        <v>25</v>
      </c>
      <c r="H37" s="4" t="s">
        <v>34</v>
      </c>
      <c r="I37" s="5">
        <v>44713</v>
      </c>
      <c r="J37" s="6">
        <v>0</v>
      </c>
      <c r="K37" s="6">
        <v>0</v>
      </c>
      <c r="L37" s="6">
        <v>3.863</v>
      </c>
      <c r="M37" s="6">
        <v>3.863</v>
      </c>
      <c r="N37" s="6">
        <v>3.863</v>
      </c>
      <c r="O37" s="6">
        <v>3.863</v>
      </c>
      <c r="P37" s="6">
        <v>0</v>
      </c>
      <c r="Q37" s="4" t="s">
        <v>26</v>
      </c>
      <c r="R37" s="4">
        <v>0</v>
      </c>
      <c r="S37" s="4" t="s">
        <v>122</v>
      </c>
      <c r="T37" s="4" t="s">
        <v>274</v>
      </c>
      <c r="U37" s="4">
        <v>0</v>
      </c>
      <c r="V37" s="4">
        <v>23</v>
      </c>
      <c r="W37" s="4">
        <v>41</v>
      </c>
    </row>
    <row r="38" spans="1:23" ht="11.25" customHeight="1" x14ac:dyDescent="0.25">
      <c r="A38" s="4" t="s">
        <v>21</v>
      </c>
      <c r="B38" s="4" t="s">
        <v>39</v>
      </c>
      <c r="C38" s="4" t="s">
        <v>40</v>
      </c>
      <c r="D38" s="4" t="s">
        <v>49</v>
      </c>
      <c r="E38" s="4" t="s">
        <v>25</v>
      </c>
      <c r="F38" s="4" t="s">
        <v>25</v>
      </c>
      <c r="G38" s="4" t="s">
        <v>25</v>
      </c>
      <c r="H38" s="4" t="s">
        <v>35</v>
      </c>
      <c r="I38" s="5">
        <v>44470</v>
      </c>
      <c r="J38" s="6">
        <v>0</v>
      </c>
      <c r="K38" s="6">
        <v>0</v>
      </c>
      <c r="L38" s="6">
        <v>11.662000000000001</v>
      </c>
      <c r="M38" s="6">
        <v>11.662000000000001</v>
      </c>
      <c r="N38" s="6">
        <v>11.662000000000001</v>
      </c>
      <c r="O38" s="6">
        <v>11.662000000000001</v>
      </c>
      <c r="P38" s="6">
        <v>0</v>
      </c>
      <c r="Q38" s="4" t="s">
        <v>26</v>
      </c>
      <c r="R38" s="4">
        <v>0</v>
      </c>
      <c r="S38" s="4" t="s">
        <v>90</v>
      </c>
      <c r="T38" s="4" t="s">
        <v>250</v>
      </c>
      <c r="U38" s="4">
        <v>0</v>
      </c>
      <c r="V38" s="4">
        <v>21</v>
      </c>
      <c r="W38" s="4">
        <v>48</v>
      </c>
    </row>
    <row r="39" spans="1:23" ht="11.25" customHeight="1" x14ac:dyDescent="0.25">
      <c r="A39" s="4" t="s">
        <v>21</v>
      </c>
      <c r="B39" s="4" t="s">
        <v>39</v>
      </c>
      <c r="C39" s="4" t="s">
        <v>40</v>
      </c>
      <c r="D39" s="4" t="s">
        <v>49</v>
      </c>
      <c r="E39" s="4" t="s">
        <v>25</v>
      </c>
      <c r="F39" s="4" t="s">
        <v>25</v>
      </c>
      <c r="G39" s="4" t="s">
        <v>25</v>
      </c>
      <c r="H39" s="4" t="s">
        <v>35</v>
      </c>
      <c r="I39" s="5">
        <v>44501</v>
      </c>
      <c r="J39" s="6">
        <v>0</v>
      </c>
      <c r="K39" s="6">
        <v>0</v>
      </c>
      <c r="L39" s="6">
        <v>59.414999999999999</v>
      </c>
      <c r="M39" s="6">
        <v>59.414999999999999</v>
      </c>
      <c r="N39" s="6">
        <v>59.414999999999999</v>
      </c>
      <c r="O39" s="6">
        <v>59.414999999999999</v>
      </c>
      <c r="P39" s="6">
        <v>0</v>
      </c>
      <c r="Q39" s="4" t="s">
        <v>26</v>
      </c>
      <c r="R39" s="4">
        <v>0</v>
      </c>
      <c r="S39" s="4" t="s">
        <v>91</v>
      </c>
      <c r="T39" s="4" t="s">
        <v>251</v>
      </c>
      <c r="U39" s="4">
        <v>0</v>
      </c>
      <c r="V39" s="4">
        <v>21</v>
      </c>
      <c r="W39" s="4">
        <v>48</v>
      </c>
    </row>
    <row r="40" spans="1:23" ht="11.25" customHeight="1" x14ac:dyDescent="0.25">
      <c r="A40" s="4" t="s">
        <v>21</v>
      </c>
      <c r="B40" s="4" t="s">
        <v>39</v>
      </c>
      <c r="C40" s="4" t="s">
        <v>40</v>
      </c>
      <c r="D40" s="4" t="s">
        <v>49</v>
      </c>
      <c r="E40" s="4" t="s">
        <v>25</v>
      </c>
      <c r="F40" s="4" t="s">
        <v>25</v>
      </c>
      <c r="G40" s="4" t="s">
        <v>25</v>
      </c>
      <c r="H40" s="4" t="s">
        <v>35</v>
      </c>
      <c r="I40" s="5">
        <v>44531</v>
      </c>
      <c r="J40" s="6">
        <v>0</v>
      </c>
      <c r="K40" s="6">
        <v>0</v>
      </c>
      <c r="L40" s="6">
        <v>53.637999999999998</v>
      </c>
      <c r="M40" s="6">
        <v>53.637999999999998</v>
      </c>
      <c r="N40" s="6">
        <v>53.637999999999998</v>
      </c>
      <c r="O40" s="6">
        <v>53.637999999999998</v>
      </c>
      <c r="P40" s="6">
        <v>0</v>
      </c>
      <c r="Q40" s="4" t="s">
        <v>26</v>
      </c>
      <c r="R40" s="4">
        <v>0</v>
      </c>
      <c r="S40" s="4" t="s">
        <v>92</v>
      </c>
      <c r="T40" s="4" t="s">
        <v>252</v>
      </c>
      <c r="U40" s="4">
        <v>0</v>
      </c>
      <c r="V40" s="4">
        <v>21</v>
      </c>
      <c r="W40" s="4">
        <v>48</v>
      </c>
    </row>
    <row r="41" spans="1:23" ht="11.25" customHeight="1" x14ac:dyDescent="0.25">
      <c r="A41" s="4" t="s">
        <v>21</v>
      </c>
      <c r="B41" s="4" t="s">
        <v>39</v>
      </c>
      <c r="C41" s="4" t="s">
        <v>40</v>
      </c>
      <c r="D41" s="4" t="s">
        <v>49</v>
      </c>
      <c r="E41" s="4" t="s">
        <v>25</v>
      </c>
      <c r="F41" s="4" t="s">
        <v>25</v>
      </c>
      <c r="G41" s="4" t="s">
        <v>25</v>
      </c>
      <c r="H41" s="4" t="s">
        <v>35</v>
      </c>
      <c r="I41" s="5">
        <v>44562</v>
      </c>
      <c r="J41" s="6">
        <v>0</v>
      </c>
      <c r="K41" s="6">
        <v>0</v>
      </c>
      <c r="L41" s="6">
        <v>81.281000000000006</v>
      </c>
      <c r="M41" s="6">
        <v>81.281000000000006</v>
      </c>
      <c r="N41" s="6">
        <v>81.281000000000006</v>
      </c>
      <c r="O41" s="6">
        <v>81.281000000000006</v>
      </c>
      <c r="P41" s="6">
        <v>0</v>
      </c>
      <c r="Q41" s="4" t="s">
        <v>26</v>
      </c>
      <c r="R41" s="4">
        <v>0</v>
      </c>
      <c r="S41" s="4" t="s">
        <v>93</v>
      </c>
      <c r="T41" s="4" t="s">
        <v>253</v>
      </c>
      <c r="U41" s="4">
        <v>0</v>
      </c>
      <c r="V41" s="4">
        <v>21</v>
      </c>
      <c r="W41" s="4">
        <v>48</v>
      </c>
    </row>
    <row r="42" spans="1:23" ht="11.25" customHeight="1" x14ac:dyDescent="0.25">
      <c r="A42" s="4" t="s">
        <v>21</v>
      </c>
      <c r="B42" s="4" t="s">
        <v>39</v>
      </c>
      <c r="C42" s="4" t="s">
        <v>40</v>
      </c>
      <c r="D42" s="4" t="s">
        <v>49</v>
      </c>
      <c r="E42" s="4" t="s">
        <v>25</v>
      </c>
      <c r="F42" s="4" t="s">
        <v>25</v>
      </c>
      <c r="G42" s="4" t="s">
        <v>25</v>
      </c>
      <c r="H42" s="4" t="s">
        <v>35</v>
      </c>
      <c r="I42" s="5">
        <v>44593</v>
      </c>
      <c r="J42" s="6">
        <v>0</v>
      </c>
      <c r="K42" s="6">
        <v>0</v>
      </c>
      <c r="L42" s="6">
        <v>110.997</v>
      </c>
      <c r="M42" s="6">
        <v>110.997</v>
      </c>
      <c r="N42" s="6">
        <v>110.997</v>
      </c>
      <c r="O42" s="6">
        <v>110.997</v>
      </c>
      <c r="P42" s="6">
        <v>0</v>
      </c>
      <c r="Q42" s="4" t="s">
        <v>26</v>
      </c>
      <c r="R42" s="4">
        <v>0</v>
      </c>
      <c r="S42" s="4" t="s">
        <v>94</v>
      </c>
      <c r="T42" s="4" t="s">
        <v>254</v>
      </c>
      <c r="U42" s="4">
        <v>0</v>
      </c>
      <c r="V42" s="4">
        <v>21</v>
      </c>
      <c r="W42" s="4">
        <v>48</v>
      </c>
    </row>
    <row r="43" spans="1:23" ht="11.25" customHeight="1" x14ac:dyDescent="0.25">
      <c r="A43" s="4" t="s">
        <v>21</v>
      </c>
      <c r="B43" s="4" t="s">
        <v>39</v>
      </c>
      <c r="C43" s="4" t="s">
        <v>40</v>
      </c>
      <c r="D43" s="4" t="s">
        <v>49</v>
      </c>
      <c r="E43" s="4" t="s">
        <v>25</v>
      </c>
      <c r="F43" s="4" t="s">
        <v>25</v>
      </c>
      <c r="G43" s="4" t="s">
        <v>25</v>
      </c>
      <c r="H43" s="4" t="s">
        <v>35</v>
      </c>
      <c r="I43" s="5">
        <v>44621</v>
      </c>
      <c r="J43" s="6">
        <v>0</v>
      </c>
      <c r="K43" s="6">
        <v>0</v>
      </c>
      <c r="L43" s="6">
        <v>134.363</v>
      </c>
      <c r="M43" s="6">
        <v>134.363</v>
      </c>
      <c r="N43" s="6">
        <v>134.363</v>
      </c>
      <c r="O43" s="6">
        <v>134.363</v>
      </c>
      <c r="P43" s="6">
        <v>0</v>
      </c>
      <c r="Q43" s="4" t="s">
        <v>26</v>
      </c>
      <c r="R43" s="4">
        <v>0</v>
      </c>
      <c r="S43" s="4" t="s">
        <v>95</v>
      </c>
      <c r="T43" s="4" t="s">
        <v>255</v>
      </c>
      <c r="U43" s="4">
        <v>0</v>
      </c>
      <c r="V43" s="4">
        <v>21</v>
      </c>
      <c r="W43" s="4">
        <v>48</v>
      </c>
    </row>
    <row r="44" spans="1:23" ht="11.25" customHeight="1" x14ac:dyDescent="0.25">
      <c r="A44" s="4" t="s">
        <v>21</v>
      </c>
      <c r="B44" s="4" t="s">
        <v>39</v>
      </c>
      <c r="C44" s="4" t="s">
        <v>40</v>
      </c>
      <c r="D44" s="4" t="s">
        <v>49</v>
      </c>
      <c r="E44" s="4" t="s">
        <v>25</v>
      </c>
      <c r="F44" s="4" t="s">
        <v>25</v>
      </c>
      <c r="G44" s="4" t="s">
        <v>25</v>
      </c>
      <c r="H44" s="4" t="s">
        <v>35</v>
      </c>
      <c r="I44" s="5">
        <v>44652</v>
      </c>
      <c r="J44" s="6">
        <v>0</v>
      </c>
      <c r="K44" s="6">
        <v>0</v>
      </c>
      <c r="L44" s="6">
        <v>107.65600000000001</v>
      </c>
      <c r="M44" s="6">
        <v>107.65600000000001</v>
      </c>
      <c r="N44" s="6">
        <v>107.65600000000001</v>
      </c>
      <c r="O44" s="6">
        <v>107.65600000000001</v>
      </c>
      <c r="P44" s="6">
        <v>0</v>
      </c>
      <c r="Q44" s="4" t="s">
        <v>26</v>
      </c>
      <c r="R44" s="4">
        <v>0</v>
      </c>
      <c r="S44" s="4" t="s">
        <v>96</v>
      </c>
      <c r="T44" s="4" t="s">
        <v>256</v>
      </c>
      <c r="U44" s="4">
        <v>0</v>
      </c>
      <c r="V44" s="4">
        <v>21</v>
      </c>
      <c r="W44" s="4">
        <v>48</v>
      </c>
    </row>
    <row r="45" spans="1:23" ht="11.25" customHeight="1" x14ac:dyDescent="0.25">
      <c r="A45" s="4" t="s">
        <v>21</v>
      </c>
      <c r="B45" s="4" t="s">
        <v>39</v>
      </c>
      <c r="C45" s="4" t="s">
        <v>40</v>
      </c>
      <c r="D45" s="4" t="s">
        <v>49</v>
      </c>
      <c r="E45" s="4" t="s">
        <v>25</v>
      </c>
      <c r="F45" s="4" t="s">
        <v>25</v>
      </c>
      <c r="G45" s="4" t="s">
        <v>25</v>
      </c>
      <c r="H45" s="4" t="s">
        <v>35</v>
      </c>
      <c r="I45" s="5">
        <v>44682</v>
      </c>
      <c r="J45" s="6">
        <v>0</v>
      </c>
      <c r="K45" s="6">
        <v>0</v>
      </c>
      <c r="L45" s="6">
        <v>91</v>
      </c>
      <c r="M45" s="6">
        <v>91</v>
      </c>
      <c r="N45" s="6">
        <v>91</v>
      </c>
      <c r="O45" s="6">
        <v>91</v>
      </c>
      <c r="P45" s="6">
        <v>0</v>
      </c>
      <c r="Q45" s="4" t="s">
        <v>26</v>
      </c>
      <c r="R45" s="4">
        <v>0</v>
      </c>
      <c r="S45" s="4" t="s">
        <v>97</v>
      </c>
      <c r="T45" s="4" t="s">
        <v>257</v>
      </c>
      <c r="U45" s="4">
        <v>0</v>
      </c>
      <c r="V45" s="4">
        <v>21</v>
      </c>
      <c r="W45" s="4">
        <v>48</v>
      </c>
    </row>
    <row r="46" spans="1:23" ht="11.25" customHeight="1" x14ac:dyDescent="0.25">
      <c r="A46" s="4" t="s">
        <v>21</v>
      </c>
      <c r="B46" s="4" t="s">
        <v>39</v>
      </c>
      <c r="C46" s="4" t="s">
        <v>40</v>
      </c>
      <c r="D46" s="4" t="s">
        <v>49</v>
      </c>
      <c r="E46" s="4" t="s">
        <v>25</v>
      </c>
      <c r="F46" s="4" t="s">
        <v>25</v>
      </c>
      <c r="G46" s="4" t="s">
        <v>25</v>
      </c>
      <c r="H46" s="4" t="s">
        <v>35</v>
      </c>
      <c r="I46" s="5">
        <v>44713</v>
      </c>
      <c r="J46" s="6">
        <v>0</v>
      </c>
      <c r="K46" s="6">
        <v>0</v>
      </c>
      <c r="L46" s="6">
        <v>73.265000000000001</v>
      </c>
      <c r="M46" s="6">
        <v>73.265000000000001</v>
      </c>
      <c r="N46" s="6">
        <v>73.265000000000001</v>
      </c>
      <c r="O46" s="6">
        <v>73.265000000000001</v>
      </c>
      <c r="P46" s="6">
        <v>0</v>
      </c>
      <c r="Q46" s="4" t="s">
        <v>26</v>
      </c>
      <c r="R46" s="4">
        <v>0</v>
      </c>
      <c r="S46" s="4" t="s">
        <v>98</v>
      </c>
      <c r="T46" s="4" t="s">
        <v>258</v>
      </c>
      <c r="U46" s="4">
        <v>0</v>
      </c>
      <c r="V46" s="4">
        <v>21</v>
      </c>
      <c r="W46" s="4">
        <v>48</v>
      </c>
    </row>
    <row r="47" spans="1:23" ht="11.25" customHeight="1" x14ac:dyDescent="0.25">
      <c r="A47" s="4" t="s">
        <v>21</v>
      </c>
      <c r="B47" s="4" t="s">
        <v>39</v>
      </c>
      <c r="C47" s="4" t="s">
        <v>40</v>
      </c>
      <c r="D47" s="4" t="s">
        <v>49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44470</v>
      </c>
      <c r="J47" s="6">
        <v>101</v>
      </c>
      <c r="K47" s="6">
        <v>101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4" t="s">
        <v>26</v>
      </c>
      <c r="R47" s="4">
        <v>0</v>
      </c>
      <c r="S47" s="4" t="s">
        <v>102</v>
      </c>
      <c r="U47" s="4">
        <v>3</v>
      </c>
      <c r="V47" s="4">
        <v>0</v>
      </c>
      <c r="W47" s="4">
        <v>0</v>
      </c>
    </row>
    <row r="48" spans="1:23" ht="11.25" customHeight="1" x14ac:dyDescent="0.25">
      <c r="A48" s="4" t="s">
        <v>21</v>
      </c>
      <c r="B48" s="4" t="s">
        <v>39</v>
      </c>
      <c r="C48" s="4" t="s">
        <v>40</v>
      </c>
      <c r="D48" s="4" t="s">
        <v>49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44501</v>
      </c>
      <c r="J48" s="6">
        <v>133</v>
      </c>
      <c r="K48" s="6">
        <v>133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4" t="s">
        <v>26</v>
      </c>
      <c r="R48" s="4">
        <v>0</v>
      </c>
      <c r="S48" s="4" t="s">
        <v>103</v>
      </c>
      <c r="U48" s="4">
        <v>3</v>
      </c>
      <c r="V48" s="4">
        <v>0</v>
      </c>
      <c r="W48" s="4">
        <v>0</v>
      </c>
    </row>
    <row r="49" spans="1:23" ht="11.25" customHeight="1" x14ac:dyDescent="0.25">
      <c r="A49" s="4" t="s">
        <v>21</v>
      </c>
      <c r="B49" s="4" t="s">
        <v>39</v>
      </c>
      <c r="C49" s="4" t="s">
        <v>40</v>
      </c>
      <c r="D49" s="4" t="s">
        <v>49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44531</v>
      </c>
      <c r="J49" s="6">
        <v>276</v>
      </c>
      <c r="K49" s="6">
        <v>276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4" t="s">
        <v>26</v>
      </c>
      <c r="R49" s="4">
        <v>0</v>
      </c>
      <c r="S49" s="4" t="s">
        <v>104</v>
      </c>
      <c r="U49" s="4">
        <v>3</v>
      </c>
      <c r="V49" s="4">
        <v>0</v>
      </c>
      <c r="W49" s="4">
        <v>0</v>
      </c>
    </row>
    <row r="50" spans="1:23" ht="11.25" customHeight="1" x14ac:dyDescent="0.25">
      <c r="A50" s="4" t="s">
        <v>21</v>
      </c>
      <c r="B50" s="4" t="s">
        <v>39</v>
      </c>
      <c r="C50" s="4" t="s">
        <v>40</v>
      </c>
      <c r="D50" s="4" t="s">
        <v>49</v>
      </c>
      <c r="E50" s="4" t="s">
        <v>25</v>
      </c>
      <c r="F50" s="4" t="s">
        <v>25</v>
      </c>
      <c r="G50" s="4" t="s">
        <v>25</v>
      </c>
      <c r="H50" s="4" t="s">
        <v>25</v>
      </c>
      <c r="I50" s="5">
        <v>44562</v>
      </c>
      <c r="J50" s="6">
        <v>163</v>
      </c>
      <c r="K50" s="6">
        <v>163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4" t="s">
        <v>26</v>
      </c>
      <c r="R50" s="4">
        <v>0</v>
      </c>
      <c r="S50" s="4" t="s">
        <v>105</v>
      </c>
      <c r="U50" s="4">
        <v>3</v>
      </c>
      <c r="V50" s="4">
        <v>0</v>
      </c>
      <c r="W50" s="4">
        <v>0</v>
      </c>
    </row>
    <row r="51" spans="1:23" ht="11.25" customHeight="1" x14ac:dyDescent="0.25">
      <c r="A51" s="4" t="s">
        <v>21</v>
      </c>
      <c r="B51" s="4" t="s">
        <v>39</v>
      </c>
      <c r="C51" s="4" t="s">
        <v>40</v>
      </c>
      <c r="D51" s="4" t="s">
        <v>49</v>
      </c>
      <c r="E51" s="4" t="s">
        <v>25</v>
      </c>
      <c r="F51" s="4" t="s">
        <v>25</v>
      </c>
      <c r="G51" s="4" t="s">
        <v>25</v>
      </c>
      <c r="H51" s="4" t="s">
        <v>25</v>
      </c>
      <c r="I51" s="5">
        <v>44593</v>
      </c>
      <c r="J51" s="6">
        <v>500</v>
      </c>
      <c r="K51" s="6">
        <v>500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4" t="s">
        <v>26</v>
      </c>
      <c r="R51" s="4">
        <v>0</v>
      </c>
      <c r="S51" s="4" t="s">
        <v>106</v>
      </c>
      <c r="U51" s="4">
        <v>3</v>
      </c>
      <c r="V51" s="4">
        <v>0</v>
      </c>
      <c r="W51" s="4">
        <v>0</v>
      </c>
    </row>
    <row r="52" spans="1:23" ht="11.25" customHeight="1" x14ac:dyDescent="0.25">
      <c r="A52" s="4" t="s">
        <v>21</v>
      </c>
      <c r="B52" s="4" t="s">
        <v>39</v>
      </c>
      <c r="C52" s="4" t="s">
        <v>40</v>
      </c>
      <c r="D52" s="4" t="s">
        <v>49</v>
      </c>
      <c r="E52" s="4" t="s">
        <v>25</v>
      </c>
      <c r="F52" s="4" t="s">
        <v>25</v>
      </c>
      <c r="G52" s="4" t="s">
        <v>25</v>
      </c>
      <c r="H52" s="4" t="s">
        <v>25</v>
      </c>
      <c r="I52" s="5">
        <v>44621</v>
      </c>
      <c r="J52" s="6">
        <v>500</v>
      </c>
      <c r="K52" s="6">
        <v>500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4" t="s">
        <v>26</v>
      </c>
      <c r="R52" s="4">
        <v>0</v>
      </c>
      <c r="S52" s="4" t="s">
        <v>107</v>
      </c>
      <c r="U52" s="4">
        <v>3</v>
      </c>
      <c r="V52" s="4">
        <v>0</v>
      </c>
      <c r="W52" s="4">
        <v>0</v>
      </c>
    </row>
    <row r="53" spans="1:23" ht="11.25" customHeight="1" x14ac:dyDescent="0.25">
      <c r="A53" s="4" t="s">
        <v>21</v>
      </c>
      <c r="B53" s="4" t="s">
        <v>39</v>
      </c>
      <c r="C53" s="4" t="s">
        <v>40</v>
      </c>
      <c r="D53" s="4" t="s">
        <v>49</v>
      </c>
      <c r="E53" s="4" t="s">
        <v>25</v>
      </c>
      <c r="F53" s="4" t="s">
        <v>25</v>
      </c>
      <c r="G53" s="4" t="s">
        <v>25</v>
      </c>
      <c r="H53" s="4" t="s">
        <v>25</v>
      </c>
      <c r="I53" s="5">
        <v>44652</v>
      </c>
      <c r="J53" s="6">
        <v>522</v>
      </c>
      <c r="K53" s="6">
        <v>522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4" t="s">
        <v>26</v>
      </c>
      <c r="R53" s="4">
        <v>0</v>
      </c>
      <c r="S53" s="4" t="s">
        <v>108</v>
      </c>
      <c r="U53" s="4">
        <v>3</v>
      </c>
      <c r="V53" s="4">
        <v>0</v>
      </c>
      <c r="W53" s="4">
        <v>0</v>
      </c>
    </row>
    <row r="54" spans="1:23" ht="11.25" customHeight="1" x14ac:dyDescent="0.25">
      <c r="A54" s="4" t="s">
        <v>21</v>
      </c>
      <c r="B54" s="4" t="s">
        <v>39</v>
      </c>
      <c r="C54" s="4" t="s">
        <v>40</v>
      </c>
      <c r="D54" s="4" t="s">
        <v>49</v>
      </c>
      <c r="E54" s="4" t="s">
        <v>25</v>
      </c>
      <c r="F54" s="4" t="s">
        <v>25</v>
      </c>
      <c r="G54" s="4" t="s">
        <v>25</v>
      </c>
      <c r="H54" s="4" t="s">
        <v>25</v>
      </c>
      <c r="I54" s="5">
        <v>44682</v>
      </c>
      <c r="J54" s="6">
        <v>521</v>
      </c>
      <c r="K54" s="6">
        <v>521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4" t="s">
        <v>26</v>
      </c>
      <c r="R54" s="4">
        <v>0</v>
      </c>
      <c r="S54" s="4" t="s">
        <v>109</v>
      </c>
      <c r="U54" s="4">
        <v>3</v>
      </c>
      <c r="V54" s="4">
        <v>0</v>
      </c>
      <c r="W54" s="4">
        <v>0</v>
      </c>
    </row>
    <row r="55" spans="1:23" ht="11.25" customHeight="1" x14ac:dyDescent="0.25">
      <c r="A55" s="4" t="s">
        <v>21</v>
      </c>
      <c r="B55" s="4" t="s">
        <v>39</v>
      </c>
      <c r="C55" s="4" t="s">
        <v>40</v>
      </c>
      <c r="D55" s="4" t="s">
        <v>49</v>
      </c>
      <c r="E55" s="4" t="s">
        <v>25</v>
      </c>
      <c r="F55" s="4" t="s">
        <v>25</v>
      </c>
      <c r="G55" s="4" t="s">
        <v>25</v>
      </c>
      <c r="H55" s="4" t="s">
        <v>25</v>
      </c>
      <c r="I55" s="5">
        <v>44713</v>
      </c>
      <c r="J55" s="6">
        <v>521</v>
      </c>
      <c r="K55" s="6">
        <v>521</v>
      </c>
      <c r="L55" s="6">
        <v>0</v>
      </c>
      <c r="M55" s="6">
        <v>0</v>
      </c>
      <c r="N55" s="6">
        <v>0</v>
      </c>
      <c r="O55" s="6">
        <v>0</v>
      </c>
      <c r="P55" s="6">
        <v>1</v>
      </c>
      <c r="Q55" s="4" t="s">
        <v>26</v>
      </c>
      <c r="R55" s="4">
        <v>0</v>
      </c>
      <c r="S55" s="4" t="s">
        <v>110</v>
      </c>
      <c r="U55" s="4">
        <v>3</v>
      </c>
      <c r="V55" s="4">
        <v>0</v>
      </c>
      <c r="W55" s="4">
        <v>0</v>
      </c>
    </row>
    <row r="56" spans="1:23" ht="11.25" customHeight="1" x14ac:dyDescent="0.25">
      <c r="A56" s="4" t="s">
        <v>21</v>
      </c>
      <c r="B56" s="4" t="s">
        <v>39</v>
      </c>
      <c r="C56" s="4" t="s">
        <v>40</v>
      </c>
      <c r="D56" s="4" t="s">
        <v>49</v>
      </c>
      <c r="E56" s="4" t="s">
        <v>25</v>
      </c>
      <c r="F56" s="4" t="s">
        <v>25</v>
      </c>
      <c r="G56" s="4" t="s">
        <v>25</v>
      </c>
      <c r="H56" s="4" t="s">
        <v>34</v>
      </c>
      <c r="I56" s="5">
        <v>44470</v>
      </c>
      <c r="J56" s="6">
        <v>0</v>
      </c>
      <c r="K56" s="6">
        <v>0</v>
      </c>
      <c r="L56" s="6">
        <v>1.06</v>
      </c>
      <c r="M56" s="6">
        <v>1.06</v>
      </c>
      <c r="N56" s="6">
        <v>1.06</v>
      </c>
      <c r="O56" s="6">
        <v>1.06</v>
      </c>
      <c r="P56" s="6">
        <v>0</v>
      </c>
      <c r="Q56" s="4" t="s">
        <v>26</v>
      </c>
      <c r="R56" s="4">
        <v>0</v>
      </c>
      <c r="S56" s="4" t="s">
        <v>114</v>
      </c>
      <c r="T56" s="4" t="s">
        <v>266</v>
      </c>
      <c r="U56" s="4">
        <v>0</v>
      </c>
      <c r="V56" s="4">
        <v>23</v>
      </c>
      <c r="W56" s="4">
        <v>41</v>
      </c>
    </row>
    <row r="57" spans="1:23" ht="11.25" customHeight="1" x14ac:dyDescent="0.25">
      <c r="A57" s="4" t="s">
        <v>21</v>
      </c>
      <c r="B57" s="4" t="s">
        <v>39</v>
      </c>
      <c r="C57" s="4" t="s">
        <v>40</v>
      </c>
      <c r="D57" s="4" t="s">
        <v>49</v>
      </c>
      <c r="E57" s="4" t="s">
        <v>25</v>
      </c>
      <c r="F57" s="4" t="s">
        <v>25</v>
      </c>
      <c r="G57" s="4" t="s">
        <v>25</v>
      </c>
      <c r="H57" s="4" t="s">
        <v>34</v>
      </c>
      <c r="I57" s="5">
        <v>44501</v>
      </c>
      <c r="J57" s="6">
        <v>0</v>
      </c>
      <c r="K57" s="6">
        <v>0</v>
      </c>
      <c r="L57" s="6">
        <v>3.544</v>
      </c>
      <c r="M57" s="6">
        <v>3.544</v>
      </c>
      <c r="N57" s="6">
        <v>3.544</v>
      </c>
      <c r="O57" s="6">
        <v>3.544</v>
      </c>
      <c r="P57" s="6">
        <v>0</v>
      </c>
      <c r="Q57" s="4" t="s">
        <v>26</v>
      </c>
      <c r="R57" s="4">
        <v>0</v>
      </c>
      <c r="S57" s="4" t="s">
        <v>115</v>
      </c>
      <c r="T57" s="4" t="s">
        <v>267</v>
      </c>
      <c r="U57" s="4">
        <v>0</v>
      </c>
      <c r="V57" s="4">
        <v>23</v>
      </c>
      <c r="W57" s="4">
        <v>41</v>
      </c>
    </row>
    <row r="58" spans="1:23" ht="11.25" customHeight="1" x14ac:dyDescent="0.25">
      <c r="A58" s="4" t="s">
        <v>21</v>
      </c>
      <c r="B58" s="4" t="s">
        <v>39</v>
      </c>
      <c r="C58" s="4" t="s">
        <v>40</v>
      </c>
      <c r="D58" s="4" t="s">
        <v>49</v>
      </c>
      <c r="E58" s="4" t="s">
        <v>25</v>
      </c>
      <c r="F58" s="4" t="s">
        <v>25</v>
      </c>
      <c r="G58" s="4" t="s">
        <v>25</v>
      </c>
      <c r="H58" s="4" t="s">
        <v>34</v>
      </c>
      <c r="I58" s="5">
        <v>44531</v>
      </c>
      <c r="J58" s="6">
        <v>0</v>
      </c>
      <c r="K58" s="6">
        <v>0</v>
      </c>
      <c r="L58" s="6">
        <v>4.0910000000000002</v>
      </c>
      <c r="M58" s="6">
        <v>4.0910000000000002</v>
      </c>
      <c r="N58" s="6">
        <v>4.0910000000000002</v>
      </c>
      <c r="O58" s="6">
        <v>4.0910000000000002</v>
      </c>
      <c r="P58" s="6">
        <v>0</v>
      </c>
      <c r="Q58" s="4" t="s">
        <v>26</v>
      </c>
      <c r="R58" s="4">
        <v>0</v>
      </c>
      <c r="S58" s="4" t="s">
        <v>116</v>
      </c>
      <c r="T58" s="4" t="s">
        <v>268</v>
      </c>
      <c r="U58" s="4">
        <v>0</v>
      </c>
      <c r="V58" s="4">
        <v>23</v>
      </c>
      <c r="W58" s="4">
        <v>41</v>
      </c>
    </row>
    <row r="59" spans="1:23" ht="11.25" customHeight="1" x14ac:dyDescent="0.25">
      <c r="A59" s="4" t="s">
        <v>21</v>
      </c>
      <c r="B59" s="4" t="s">
        <v>39</v>
      </c>
      <c r="C59" s="4" t="s">
        <v>40</v>
      </c>
      <c r="D59" s="4" t="s">
        <v>49</v>
      </c>
      <c r="E59" s="4" t="s">
        <v>25</v>
      </c>
      <c r="F59" s="4" t="s">
        <v>25</v>
      </c>
      <c r="G59" s="4" t="s">
        <v>25</v>
      </c>
      <c r="H59" s="4" t="s">
        <v>34</v>
      </c>
      <c r="I59" s="5">
        <v>44562</v>
      </c>
      <c r="J59" s="6">
        <v>0</v>
      </c>
      <c r="K59" s="6">
        <v>0</v>
      </c>
      <c r="L59" s="6">
        <v>3.3220000000000001</v>
      </c>
      <c r="M59" s="6">
        <v>3.3220000000000001</v>
      </c>
      <c r="N59" s="6">
        <v>3.3220000000000001</v>
      </c>
      <c r="O59" s="6">
        <v>3.3220000000000001</v>
      </c>
      <c r="P59" s="6">
        <v>0</v>
      </c>
      <c r="Q59" s="4" t="s">
        <v>26</v>
      </c>
      <c r="R59" s="4">
        <v>0</v>
      </c>
      <c r="S59" s="4" t="s">
        <v>117</v>
      </c>
      <c r="T59" s="4" t="s">
        <v>269</v>
      </c>
      <c r="U59" s="4">
        <v>0</v>
      </c>
      <c r="V59" s="4">
        <v>23</v>
      </c>
      <c r="W59" s="4">
        <v>41</v>
      </c>
    </row>
    <row r="60" spans="1:23" ht="11.25" customHeight="1" x14ac:dyDescent="0.25">
      <c r="A60" s="4" t="s">
        <v>21</v>
      </c>
      <c r="B60" s="4" t="s">
        <v>39</v>
      </c>
      <c r="C60" s="4" t="s">
        <v>40</v>
      </c>
      <c r="D60" s="4" t="s">
        <v>49</v>
      </c>
      <c r="E60" s="4" t="s">
        <v>25</v>
      </c>
      <c r="F60" s="4" t="s">
        <v>25</v>
      </c>
      <c r="G60" s="4" t="s">
        <v>25</v>
      </c>
      <c r="H60" s="4" t="s">
        <v>34</v>
      </c>
      <c r="I60" s="5">
        <v>44593</v>
      </c>
      <c r="J60" s="6">
        <v>0</v>
      </c>
      <c r="K60" s="6">
        <v>0</v>
      </c>
      <c r="L60" s="6">
        <v>2.738</v>
      </c>
      <c r="M60" s="6">
        <v>2.738</v>
      </c>
      <c r="N60" s="6">
        <v>2.738</v>
      </c>
      <c r="O60" s="6">
        <v>2.738</v>
      </c>
      <c r="P60" s="6">
        <v>0</v>
      </c>
      <c r="Q60" s="4" t="s">
        <v>26</v>
      </c>
      <c r="R60" s="4">
        <v>0</v>
      </c>
      <c r="S60" s="4" t="s">
        <v>118</v>
      </c>
      <c r="T60" s="4" t="s">
        <v>270</v>
      </c>
      <c r="U60" s="4">
        <v>0</v>
      </c>
      <c r="V60" s="4">
        <v>23</v>
      </c>
      <c r="W60" s="4">
        <v>41</v>
      </c>
    </row>
    <row r="61" spans="1:23" ht="11.25" customHeight="1" x14ac:dyDescent="0.25">
      <c r="A61" s="4" t="s">
        <v>21</v>
      </c>
      <c r="B61" s="4" t="s">
        <v>39</v>
      </c>
      <c r="C61" s="4" t="s">
        <v>40</v>
      </c>
      <c r="D61" s="4" t="s">
        <v>49</v>
      </c>
      <c r="E61" s="4" t="s">
        <v>25</v>
      </c>
      <c r="F61" s="4" t="s">
        <v>25</v>
      </c>
      <c r="G61" s="4" t="s">
        <v>25</v>
      </c>
      <c r="H61" s="4" t="s">
        <v>34</v>
      </c>
      <c r="I61" s="5">
        <v>44621</v>
      </c>
      <c r="J61" s="6">
        <v>0</v>
      </c>
      <c r="K61" s="6">
        <v>0</v>
      </c>
      <c r="L61" s="6">
        <v>7.2510000000000003</v>
      </c>
      <c r="M61" s="6">
        <v>7.2510000000000003</v>
      </c>
      <c r="N61" s="6">
        <v>7.2510000000000003</v>
      </c>
      <c r="O61" s="6">
        <v>7.2510000000000003</v>
      </c>
      <c r="P61" s="6">
        <v>0</v>
      </c>
      <c r="Q61" s="4" t="s">
        <v>26</v>
      </c>
      <c r="R61" s="4">
        <v>0</v>
      </c>
      <c r="S61" s="4" t="s">
        <v>119</v>
      </c>
      <c r="T61" s="4" t="s">
        <v>271</v>
      </c>
      <c r="U61" s="4">
        <v>0</v>
      </c>
      <c r="V61" s="4">
        <v>23</v>
      </c>
      <c r="W61" s="4">
        <v>41</v>
      </c>
    </row>
    <row r="62" spans="1:23" ht="11.25" customHeight="1" x14ac:dyDescent="0.25">
      <c r="A62" s="4" t="s">
        <v>21</v>
      </c>
      <c r="B62" s="4" t="s">
        <v>39</v>
      </c>
      <c r="C62" s="4" t="s">
        <v>40</v>
      </c>
      <c r="D62" s="4" t="s">
        <v>49</v>
      </c>
      <c r="E62" s="4" t="s">
        <v>25</v>
      </c>
      <c r="F62" s="4" t="s">
        <v>25</v>
      </c>
      <c r="G62" s="4" t="s">
        <v>25</v>
      </c>
      <c r="H62" s="4" t="s">
        <v>34</v>
      </c>
      <c r="I62" s="5">
        <v>44652</v>
      </c>
      <c r="J62" s="6">
        <v>0</v>
      </c>
      <c r="K62" s="6">
        <v>0</v>
      </c>
      <c r="L62" s="6">
        <v>2.762</v>
      </c>
      <c r="M62" s="6">
        <v>2.762</v>
      </c>
      <c r="N62" s="6">
        <v>2.762</v>
      </c>
      <c r="O62" s="6">
        <v>2.762</v>
      </c>
      <c r="P62" s="6">
        <v>0</v>
      </c>
      <c r="Q62" s="4" t="s">
        <v>26</v>
      </c>
      <c r="R62" s="4">
        <v>0</v>
      </c>
      <c r="S62" s="4" t="s">
        <v>120</v>
      </c>
      <c r="T62" s="4" t="s">
        <v>272</v>
      </c>
      <c r="U62" s="4">
        <v>0</v>
      </c>
      <c r="V62" s="4">
        <v>23</v>
      </c>
      <c r="W62" s="4">
        <v>41</v>
      </c>
    </row>
    <row r="63" spans="1:23" ht="11.25" customHeight="1" x14ac:dyDescent="0.25">
      <c r="A63" s="4" t="s">
        <v>21</v>
      </c>
      <c r="B63" s="4" t="s">
        <v>39</v>
      </c>
      <c r="C63" s="4" t="s">
        <v>40</v>
      </c>
      <c r="D63" s="4" t="s">
        <v>49</v>
      </c>
      <c r="E63" s="4" t="s">
        <v>25</v>
      </c>
      <c r="F63" s="4" t="s">
        <v>25</v>
      </c>
      <c r="G63" s="4" t="s">
        <v>25</v>
      </c>
      <c r="H63" s="4" t="s">
        <v>34</v>
      </c>
      <c r="I63" s="5">
        <v>44682</v>
      </c>
      <c r="J63" s="6">
        <v>0</v>
      </c>
      <c r="K63" s="6">
        <v>0</v>
      </c>
      <c r="L63" s="6">
        <v>1.4730000000000001</v>
      </c>
      <c r="M63" s="6">
        <v>1.4730000000000001</v>
      </c>
      <c r="N63" s="6">
        <v>1.4730000000000001</v>
      </c>
      <c r="O63" s="6">
        <v>1.4730000000000001</v>
      </c>
      <c r="P63" s="6">
        <v>0</v>
      </c>
      <c r="Q63" s="4" t="s">
        <v>26</v>
      </c>
      <c r="R63" s="4">
        <v>0</v>
      </c>
      <c r="S63" s="4" t="s">
        <v>121</v>
      </c>
      <c r="T63" s="4" t="s">
        <v>273</v>
      </c>
      <c r="U63" s="4">
        <v>0</v>
      </c>
      <c r="V63" s="4">
        <v>23</v>
      </c>
      <c r="W63" s="4">
        <v>41</v>
      </c>
    </row>
    <row r="64" spans="1:23" ht="11.25" customHeight="1" x14ac:dyDescent="0.25">
      <c r="A64" s="4" t="s">
        <v>21</v>
      </c>
      <c r="B64" s="4" t="s">
        <v>39</v>
      </c>
      <c r="C64" s="4" t="s">
        <v>40</v>
      </c>
      <c r="D64" s="4" t="s">
        <v>49</v>
      </c>
      <c r="E64" s="4" t="s">
        <v>25</v>
      </c>
      <c r="F64" s="4" t="s">
        <v>25</v>
      </c>
      <c r="G64" s="4" t="s">
        <v>25</v>
      </c>
      <c r="H64" s="4" t="s">
        <v>34</v>
      </c>
      <c r="I64" s="5">
        <v>44713</v>
      </c>
      <c r="J64" s="6">
        <v>0</v>
      </c>
      <c r="K64" s="6">
        <v>0</v>
      </c>
      <c r="L64" s="6">
        <v>1.4710000000000001</v>
      </c>
      <c r="M64" s="6">
        <v>1.4710000000000001</v>
      </c>
      <c r="N64" s="6">
        <v>1.4710000000000001</v>
      </c>
      <c r="O64" s="6">
        <v>1.4710000000000001</v>
      </c>
      <c r="P64" s="6">
        <v>0</v>
      </c>
      <c r="Q64" s="4" t="s">
        <v>26</v>
      </c>
      <c r="R64" s="4">
        <v>0</v>
      </c>
      <c r="S64" s="4" t="s">
        <v>122</v>
      </c>
      <c r="T64" s="4" t="s">
        <v>274</v>
      </c>
      <c r="U64" s="4">
        <v>0</v>
      </c>
      <c r="V64" s="4">
        <v>23</v>
      </c>
      <c r="W64" s="4">
        <v>41</v>
      </c>
    </row>
    <row r="65" spans="1:23" ht="11.25" customHeight="1" x14ac:dyDescent="0.25">
      <c r="A65" s="4" t="s">
        <v>21</v>
      </c>
      <c r="B65" s="4" t="s">
        <v>22</v>
      </c>
      <c r="C65" s="4" t="s">
        <v>33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35</v>
      </c>
      <c r="I65" s="5">
        <v>44378</v>
      </c>
      <c r="J65" s="6">
        <v>0</v>
      </c>
      <c r="K65" s="6">
        <v>0</v>
      </c>
      <c r="L65" s="6">
        <v>0.20899999999999999</v>
      </c>
      <c r="M65" s="6">
        <v>0.20899999999999999</v>
      </c>
      <c r="N65" s="6">
        <v>0.20899999999999999</v>
      </c>
      <c r="O65" s="6">
        <v>0.20899999999999999</v>
      </c>
      <c r="P65" s="6">
        <v>0</v>
      </c>
      <c r="Q65" s="4" t="s">
        <v>26</v>
      </c>
      <c r="R65" s="4">
        <v>0</v>
      </c>
      <c r="S65" s="4" t="s">
        <v>123</v>
      </c>
      <c r="T65" s="4" t="s">
        <v>275</v>
      </c>
      <c r="U65" s="4">
        <v>0</v>
      </c>
      <c r="V65" s="4">
        <v>32</v>
      </c>
      <c r="W65" s="4">
        <v>64</v>
      </c>
    </row>
    <row r="66" spans="1:23" ht="11.25" customHeight="1" x14ac:dyDescent="0.25">
      <c r="A66" s="4" t="s">
        <v>21</v>
      </c>
      <c r="B66" s="4" t="s">
        <v>22</v>
      </c>
      <c r="C66" s="4" t="s">
        <v>33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35</v>
      </c>
      <c r="I66" s="5">
        <v>44409</v>
      </c>
      <c r="J66" s="6">
        <v>0</v>
      </c>
      <c r="K66" s="6">
        <v>0</v>
      </c>
      <c r="L66" s="6">
        <v>0.20200000000000001</v>
      </c>
      <c r="M66" s="6">
        <v>0.20200000000000001</v>
      </c>
      <c r="N66" s="6">
        <v>0.20200000000000001</v>
      </c>
      <c r="O66" s="6">
        <v>0.20200000000000001</v>
      </c>
      <c r="P66" s="6">
        <v>0</v>
      </c>
      <c r="Q66" s="4" t="s">
        <v>26</v>
      </c>
      <c r="R66" s="4">
        <v>0</v>
      </c>
      <c r="S66" s="4" t="s">
        <v>124</v>
      </c>
      <c r="T66" s="4" t="s">
        <v>276</v>
      </c>
      <c r="U66" s="4">
        <v>0</v>
      </c>
      <c r="V66" s="4">
        <v>32</v>
      </c>
      <c r="W66" s="4">
        <v>64</v>
      </c>
    </row>
    <row r="67" spans="1:23" ht="11.25" customHeight="1" x14ac:dyDescent="0.25">
      <c r="A67" s="4" t="s">
        <v>21</v>
      </c>
      <c r="B67" s="4" t="s">
        <v>22</v>
      </c>
      <c r="C67" s="4" t="s">
        <v>33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35</v>
      </c>
      <c r="I67" s="5">
        <v>44440</v>
      </c>
      <c r="J67" s="6">
        <v>0</v>
      </c>
      <c r="K67" s="6">
        <v>0</v>
      </c>
      <c r="L67" s="6">
        <v>0.23899999999999999</v>
      </c>
      <c r="M67" s="6">
        <v>0.23899999999999999</v>
      </c>
      <c r="N67" s="6">
        <v>0.23899999999999999</v>
      </c>
      <c r="O67" s="6">
        <v>0.23899999999999999</v>
      </c>
      <c r="P67" s="6">
        <v>0</v>
      </c>
      <c r="Q67" s="4" t="s">
        <v>26</v>
      </c>
      <c r="R67" s="4">
        <v>0</v>
      </c>
      <c r="S67" s="4" t="s">
        <v>125</v>
      </c>
      <c r="T67" s="4" t="s">
        <v>277</v>
      </c>
      <c r="U67" s="4">
        <v>0</v>
      </c>
      <c r="V67" s="4">
        <v>32</v>
      </c>
      <c r="W67" s="4">
        <v>64</v>
      </c>
    </row>
    <row r="68" spans="1:23" ht="11.25" customHeight="1" x14ac:dyDescent="0.25">
      <c r="A68" s="4" t="s">
        <v>21</v>
      </c>
      <c r="B68" s="4" t="s">
        <v>22</v>
      </c>
      <c r="C68" s="4" t="s">
        <v>33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35</v>
      </c>
      <c r="I68" s="5">
        <v>44470</v>
      </c>
      <c r="J68" s="6">
        <v>0</v>
      </c>
      <c r="K68" s="6">
        <v>0</v>
      </c>
      <c r="L68" s="6">
        <v>0.247</v>
      </c>
      <c r="M68" s="6">
        <v>0.247</v>
      </c>
      <c r="N68" s="6">
        <v>0.247</v>
      </c>
      <c r="O68" s="6">
        <v>0.247</v>
      </c>
      <c r="P68" s="6">
        <v>0</v>
      </c>
      <c r="Q68" s="4" t="s">
        <v>26</v>
      </c>
      <c r="R68" s="4">
        <v>0</v>
      </c>
      <c r="S68" s="4" t="s">
        <v>126</v>
      </c>
      <c r="T68" s="4" t="s">
        <v>278</v>
      </c>
      <c r="U68" s="4">
        <v>0</v>
      </c>
      <c r="V68" s="4">
        <v>32</v>
      </c>
      <c r="W68" s="4">
        <v>64</v>
      </c>
    </row>
    <row r="69" spans="1:23" ht="11.25" customHeight="1" x14ac:dyDescent="0.25">
      <c r="A69" s="4" t="s">
        <v>21</v>
      </c>
      <c r="B69" s="4" t="s">
        <v>22</v>
      </c>
      <c r="C69" s="4" t="s">
        <v>33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35</v>
      </c>
      <c r="I69" s="5">
        <v>44501</v>
      </c>
      <c r="J69" s="6">
        <v>0</v>
      </c>
      <c r="K69" s="6">
        <v>0</v>
      </c>
      <c r="L69" s="6">
        <v>0.28100000000000003</v>
      </c>
      <c r="M69" s="6">
        <v>0.28100000000000003</v>
      </c>
      <c r="N69" s="6">
        <v>0.28100000000000003</v>
      </c>
      <c r="O69" s="6">
        <v>0.28100000000000003</v>
      </c>
      <c r="P69" s="6">
        <v>0</v>
      </c>
      <c r="Q69" s="4" t="s">
        <v>26</v>
      </c>
      <c r="R69" s="4">
        <v>0</v>
      </c>
      <c r="S69" s="4" t="s">
        <v>127</v>
      </c>
      <c r="T69" s="4" t="s">
        <v>279</v>
      </c>
      <c r="U69" s="4">
        <v>0</v>
      </c>
      <c r="V69" s="4">
        <v>32</v>
      </c>
      <c r="W69" s="4">
        <v>64</v>
      </c>
    </row>
    <row r="70" spans="1:23" ht="11.25" customHeight="1" x14ac:dyDescent="0.25">
      <c r="A70" s="4" t="s">
        <v>21</v>
      </c>
      <c r="B70" s="4" t="s">
        <v>22</v>
      </c>
      <c r="C70" s="4" t="s">
        <v>33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35</v>
      </c>
      <c r="I70" s="5">
        <v>44531</v>
      </c>
      <c r="J70" s="6">
        <v>0</v>
      </c>
      <c r="K70" s="6">
        <v>0</v>
      </c>
      <c r="L70" s="6">
        <v>0.28499999999999998</v>
      </c>
      <c r="M70" s="6">
        <v>0.28499999999999998</v>
      </c>
      <c r="N70" s="6">
        <v>0.28499999999999998</v>
      </c>
      <c r="O70" s="6">
        <v>0.28499999999999998</v>
      </c>
      <c r="P70" s="6">
        <v>0</v>
      </c>
      <c r="Q70" s="4" t="s">
        <v>26</v>
      </c>
      <c r="R70" s="4">
        <v>0</v>
      </c>
      <c r="S70" s="4" t="s">
        <v>128</v>
      </c>
      <c r="T70" s="4" t="s">
        <v>280</v>
      </c>
      <c r="U70" s="4">
        <v>0</v>
      </c>
      <c r="V70" s="4">
        <v>32</v>
      </c>
      <c r="W70" s="4">
        <v>64</v>
      </c>
    </row>
    <row r="71" spans="1:23" ht="11.25" customHeight="1" x14ac:dyDescent="0.25">
      <c r="A71" s="4" t="s">
        <v>21</v>
      </c>
      <c r="B71" s="4" t="s">
        <v>22</v>
      </c>
      <c r="C71" s="4" t="s">
        <v>33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35</v>
      </c>
      <c r="I71" s="5">
        <v>44562</v>
      </c>
      <c r="J71" s="6">
        <v>0</v>
      </c>
      <c r="K71" s="6">
        <v>0</v>
      </c>
      <c r="L71" s="6">
        <v>0.26400000000000001</v>
      </c>
      <c r="M71" s="6">
        <v>0.26400000000000001</v>
      </c>
      <c r="N71" s="6">
        <v>0.26400000000000001</v>
      </c>
      <c r="O71" s="6">
        <v>0.26400000000000001</v>
      </c>
      <c r="P71" s="6">
        <v>0</v>
      </c>
      <c r="Q71" s="4" t="s">
        <v>26</v>
      </c>
      <c r="R71" s="4">
        <v>0</v>
      </c>
      <c r="S71" s="4" t="s">
        <v>129</v>
      </c>
      <c r="T71" s="4" t="s">
        <v>281</v>
      </c>
      <c r="U71" s="4">
        <v>0</v>
      </c>
      <c r="V71" s="4">
        <v>32</v>
      </c>
      <c r="W71" s="4">
        <v>64</v>
      </c>
    </row>
    <row r="72" spans="1:23" ht="11.25" customHeight="1" x14ac:dyDescent="0.25">
      <c r="A72" s="4" t="s">
        <v>21</v>
      </c>
      <c r="B72" s="4" t="s">
        <v>22</v>
      </c>
      <c r="C72" s="4" t="s">
        <v>33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35</v>
      </c>
      <c r="I72" s="5">
        <v>44593</v>
      </c>
      <c r="J72" s="6">
        <v>0</v>
      </c>
      <c r="K72" s="6">
        <v>0</v>
      </c>
      <c r="L72" s="6">
        <v>0.27400000000000002</v>
      </c>
      <c r="M72" s="6">
        <v>0.27400000000000002</v>
      </c>
      <c r="N72" s="6">
        <v>0.27400000000000002</v>
      </c>
      <c r="O72" s="6">
        <v>0.27400000000000002</v>
      </c>
      <c r="P72" s="6">
        <v>0</v>
      </c>
      <c r="Q72" s="4" t="s">
        <v>26</v>
      </c>
      <c r="R72" s="4">
        <v>0</v>
      </c>
      <c r="S72" s="4" t="s">
        <v>130</v>
      </c>
      <c r="T72" s="4" t="s">
        <v>282</v>
      </c>
      <c r="U72" s="4">
        <v>0</v>
      </c>
      <c r="V72" s="4">
        <v>32</v>
      </c>
      <c r="W72" s="4">
        <v>64</v>
      </c>
    </row>
    <row r="73" spans="1:23" ht="11.25" customHeight="1" x14ac:dyDescent="0.25">
      <c r="A73" s="4" t="s">
        <v>21</v>
      </c>
      <c r="B73" s="4" t="s">
        <v>22</v>
      </c>
      <c r="C73" s="4" t="s">
        <v>33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35</v>
      </c>
      <c r="I73" s="5">
        <v>44621</v>
      </c>
      <c r="J73" s="6">
        <v>0</v>
      </c>
      <c r="K73" s="6">
        <v>0</v>
      </c>
      <c r="L73" s="6">
        <v>0.21</v>
      </c>
      <c r="M73" s="6">
        <v>0.21</v>
      </c>
      <c r="N73" s="6">
        <v>0.21</v>
      </c>
      <c r="O73" s="6">
        <v>0.21</v>
      </c>
      <c r="P73" s="6">
        <v>0</v>
      </c>
      <c r="Q73" s="4" t="s">
        <v>26</v>
      </c>
      <c r="R73" s="4">
        <v>0</v>
      </c>
      <c r="S73" s="4" t="s">
        <v>131</v>
      </c>
      <c r="T73" s="4" t="s">
        <v>283</v>
      </c>
      <c r="U73" s="4">
        <v>0</v>
      </c>
      <c r="V73" s="4">
        <v>32</v>
      </c>
      <c r="W73" s="4">
        <v>64</v>
      </c>
    </row>
    <row r="74" spans="1:23" ht="11.25" customHeight="1" x14ac:dyDescent="0.25">
      <c r="A74" s="4" t="s">
        <v>21</v>
      </c>
      <c r="B74" s="4" t="s">
        <v>22</v>
      </c>
      <c r="C74" s="4" t="s">
        <v>33</v>
      </c>
      <c r="D74" s="4" t="s">
        <v>24</v>
      </c>
      <c r="E74" s="4" t="s">
        <v>24</v>
      </c>
      <c r="F74" s="4" t="s">
        <v>25</v>
      </c>
      <c r="G74" s="4" t="s">
        <v>25</v>
      </c>
      <c r="H74" s="4" t="s">
        <v>36</v>
      </c>
      <c r="I74" s="5">
        <v>44378</v>
      </c>
      <c r="J74" s="6">
        <v>0</v>
      </c>
      <c r="K74" s="6">
        <v>0</v>
      </c>
      <c r="L74" s="6">
        <v>1.4999999999999999E-2</v>
      </c>
      <c r="M74" s="6">
        <v>1.4999999999999999E-2</v>
      </c>
      <c r="N74" s="6">
        <v>1.4999999999999999E-2</v>
      </c>
      <c r="O74" s="6">
        <v>1.4999999999999999E-2</v>
      </c>
      <c r="P74" s="6">
        <v>0</v>
      </c>
      <c r="Q74" s="4" t="s">
        <v>26</v>
      </c>
      <c r="R74" s="4">
        <v>0</v>
      </c>
      <c r="S74" s="4" t="s">
        <v>132</v>
      </c>
      <c r="T74" s="4" t="s">
        <v>284</v>
      </c>
      <c r="U74" s="4">
        <v>0</v>
      </c>
      <c r="V74" s="4">
        <v>5</v>
      </c>
      <c r="W74" s="4">
        <v>36</v>
      </c>
    </row>
    <row r="75" spans="1:23" ht="11.25" customHeight="1" x14ac:dyDescent="0.25">
      <c r="A75" s="4" t="s">
        <v>21</v>
      </c>
      <c r="B75" s="4" t="s">
        <v>22</v>
      </c>
      <c r="C75" s="4" t="s">
        <v>33</v>
      </c>
      <c r="D75" s="4" t="s">
        <v>24</v>
      </c>
      <c r="E75" s="4" t="s">
        <v>24</v>
      </c>
      <c r="F75" s="4" t="s">
        <v>25</v>
      </c>
      <c r="G75" s="4" t="s">
        <v>25</v>
      </c>
      <c r="H75" s="4" t="s">
        <v>36</v>
      </c>
      <c r="I75" s="5">
        <v>44409</v>
      </c>
      <c r="J75" s="6">
        <v>0</v>
      </c>
      <c r="K75" s="6">
        <v>0</v>
      </c>
      <c r="L75" s="6">
        <v>1.6E-2</v>
      </c>
      <c r="M75" s="6">
        <v>1.6E-2</v>
      </c>
      <c r="N75" s="6">
        <v>1.6E-2</v>
      </c>
      <c r="O75" s="6">
        <v>1.6E-2</v>
      </c>
      <c r="P75" s="6">
        <v>0</v>
      </c>
      <c r="Q75" s="4" t="s">
        <v>26</v>
      </c>
      <c r="R75" s="4">
        <v>0</v>
      </c>
      <c r="S75" s="4" t="s">
        <v>133</v>
      </c>
      <c r="T75" s="4" t="s">
        <v>285</v>
      </c>
      <c r="U75" s="4">
        <v>0</v>
      </c>
      <c r="V75" s="4">
        <v>5</v>
      </c>
      <c r="W75" s="4">
        <v>36</v>
      </c>
    </row>
    <row r="76" spans="1:23" ht="11.25" customHeight="1" x14ac:dyDescent="0.25">
      <c r="A76" s="4" t="s">
        <v>21</v>
      </c>
      <c r="B76" s="4" t="s">
        <v>22</v>
      </c>
      <c r="C76" s="4" t="s">
        <v>33</v>
      </c>
      <c r="D76" s="4" t="s">
        <v>24</v>
      </c>
      <c r="E76" s="4" t="s">
        <v>24</v>
      </c>
      <c r="F76" s="4" t="s">
        <v>25</v>
      </c>
      <c r="G76" s="4" t="s">
        <v>25</v>
      </c>
      <c r="H76" s="4" t="s">
        <v>36</v>
      </c>
      <c r="I76" s="5">
        <v>44440</v>
      </c>
      <c r="J76" s="6">
        <v>0</v>
      </c>
      <c r="K76" s="6">
        <v>0</v>
      </c>
      <c r="L76" s="6">
        <v>1.6E-2</v>
      </c>
      <c r="M76" s="6">
        <v>1.6E-2</v>
      </c>
      <c r="N76" s="6">
        <v>1.6E-2</v>
      </c>
      <c r="O76" s="6">
        <v>1.6E-2</v>
      </c>
      <c r="P76" s="6">
        <v>0</v>
      </c>
      <c r="Q76" s="4" t="s">
        <v>26</v>
      </c>
      <c r="R76" s="4">
        <v>0</v>
      </c>
      <c r="S76" s="4" t="s">
        <v>134</v>
      </c>
      <c r="T76" s="4" t="s">
        <v>286</v>
      </c>
      <c r="U76" s="4">
        <v>0</v>
      </c>
      <c r="V76" s="4">
        <v>5</v>
      </c>
      <c r="W76" s="4">
        <v>36</v>
      </c>
    </row>
    <row r="77" spans="1:23" ht="11.25" customHeight="1" x14ac:dyDescent="0.25">
      <c r="A77" s="4" t="s">
        <v>21</v>
      </c>
      <c r="B77" s="4" t="s">
        <v>22</v>
      </c>
      <c r="C77" s="4" t="s">
        <v>33</v>
      </c>
      <c r="D77" s="4" t="s">
        <v>24</v>
      </c>
      <c r="E77" s="4" t="s">
        <v>24</v>
      </c>
      <c r="F77" s="4" t="s">
        <v>25</v>
      </c>
      <c r="G77" s="4" t="s">
        <v>25</v>
      </c>
      <c r="H77" s="4" t="s">
        <v>36</v>
      </c>
      <c r="I77" s="5">
        <v>44470</v>
      </c>
      <c r="J77" s="6">
        <v>0</v>
      </c>
      <c r="K77" s="6">
        <v>0</v>
      </c>
      <c r="L77" s="6">
        <v>1.7999999999999999E-2</v>
      </c>
      <c r="M77" s="6">
        <v>1.7999999999999999E-2</v>
      </c>
      <c r="N77" s="6">
        <v>1.7999999999999999E-2</v>
      </c>
      <c r="O77" s="6">
        <v>1.7999999999999999E-2</v>
      </c>
      <c r="P77" s="6">
        <v>0</v>
      </c>
      <c r="Q77" s="4" t="s">
        <v>26</v>
      </c>
      <c r="R77" s="4">
        <v>0</v>
      </c>
      <c r="S77" s="4" t="s">
        <v>135</v>
      </c>
      <c r="T77" s="4" t="s">
        <v>287</v>
      </c>
      <c r="U77" s="4">
        <v>0</v>
      </c>
      <c r="V77" s="4">
        <v>5</v>
      </c>
      <c r="W77" s="4">
        <v>36</v>
      </c>
    </row>
    <row r="78" spans="1:23" ht="11.25" customHeight="1" x14ac:dyDescent="0.25">
      <c r="A78" s="4" t="s">
        <v>21</v>
      </c>
      <c r="B78" s="4" t="s">
        <v>22</v>
      </c>
      <c r="C78" s="4" t="s">
        <v>33</v>
      </c>
      <c r="D78" s="4" t="s">
        <v>24</v>
      </c>
      <c r="E78" s="4" t="s">
        <v>24</v>
      </c>
      <c r="F78" s="4" t="s">
        <v>25</v>
      </c>
      <c r="G78" s="4" t="s">
        <v>25</v>
      </c>
      <c r="H78" s="4" t="s">
        <v>36</v>
      </c>
      <c r="I78" s="5">
        <v>44501</v>
      </c>
      <c r="J78" s="6">
        <v>0</v>
      </c>
      <c r="K78" s="6">
        <v>0</v>
      </c>
      <c r="L78" s="6">
        <v>1.6E-2</v>
      </c>
      <c r="M78" s="6">
        <v>1.6E-2</v>
      </c>
      <c r="N78" s="6">
        <v>1.6E-2</v>
      </c>
      <c r="O78" s="6">
        <v>1.6E-2</v>
      </c>
      <c r="P78" s="6">
        <v>0</v>
      </c>
      <c r="Q78" s="4" t="s">
        <v>26</v>
      </c>
      <c r="R78" s="4">
        <v>0</v>
      </c>
      <c r="S78" s="4" t="s">
        <v>136</v>
      </c>
      <c r="T78" s="4" t="s">
        <v>288</v>
      </c>
      <c r="U78" s="4">
        <v>0</v>
      </c>
      <c r="V78" s="4">
        <v>5</v>
      </c>
      <c r="W78" s="4">
        <v>36</v>
      </c>
    </row>
    <row r="79" spans="1:23" ht="11.25" customHeight="1" x14ac:dyDescent="0.25">
      <c r="A79" s="4" t="s">
        <v>28</v>
      </c>
      <c r="B79" s="4" t="s">
        <v>22</v>
      </c>
      <c r="C79" s="4" t="s">
        <v>33</v>
      </c>
      <c r="D79" s="4" t="s">
        <v>24</v>
      </c>
      <c r="E79" s="4" t="s">
        <v>24</v>
      </c>
      <c r="F79" s="4" t="s">
        <v>25</v>
      </c>
      <c r="G79" s="4" t="s">
        <v>25</v>
      </c>
      <c r="H79" s="4" t="s">
        <v>36</v>
      </c>
      <c r="I79" s="5">
        <v>44501</v>
      </c>
      <c r="J79" s="6">
        <v>0</v>
      </c>
      <c r="K79" s="6">
        <v>0</v>
      </c>
      <c r="L79" s="6">
        <v>8.4000000000000005E-2</v>
      </c>
      <c r="M79" s="6">
        <v>8.4000000000000005E-2</v>
      </c>
      <c r="N79" s="6">
        <v>8.4000000000000005E-2</v>
      </c>
      <c r="O79" s="6">
        <v>8.4000000000000005E-2</v>
      </c>
      <c r="P79" s="6">
        <v>0</v>
      </c>
      <c r="Q79" s="4" t="s">
        <v>26</v>
      </c>
      <c r="R79" s="4">
        <v>0</v>
      </c>
      <c r="S79" s="4" t="s">
        <v>136</v>
      </c>
      <c r="T79" s="4" t="s">
        <v>288</v>
      </c>
      <c r="U79" s="4">
        <v>0</v>
      </c>
      <c r="V79" s="4">
        <v>5</v>
      </c>
      <c r="W79" s="4">
        <v>36</v>
      </c>
    </row>
    <row r="80" spans="1:23" ht="11.25" customHeight="1" x14ac:dyDescent="0.25">
      <c r="A80" s="4" t="s">
        <v>21</v>
      </c>
      <c r="B80" s="4" t="s">
        <v>22</v>
      </c>
      <c r="C80" s="4" t="s">
        <v>33</v>
      </c>
      <c r="D80" s="4" t="s">
        <v>24</v>
      </c>
      <c r="E80" s="4" t="s">
        <v>24</v>
      </c>
      <c r="F80" s="4" t="s">
        <v>25</v>
      </c>
      <c r="G80" s="4" t="s">
        <v>25</v>
      </c>
      <c r="H80" s="4" t="s">
        <v>36</v>
      </c>
      <c r="I80" s="5">
        <v>44531</v>
      </c>
      <c r="J80" s="6">
        <v>0</v>
      </c>
      <c r="K80" s="6">
        <v>0</v>
      </c>
      <c r="L80" s="6">
        <v>1.7999999999999999E-2</v>
      </c>
      <c r="M80" s="6">
        <v>1.7999999999999999E-2</v>
      </c>
      <c r="N80" s="6">
        <v>1.7999999999999999E-2</v>
      </c>
      <c r="O80" s="6">
        <v>1.7999999999999999E-2</v>
      </c>
      <c r="P80" s="6">
        <v>0</v>
      </c>
      <c r="Q80" s="4" t="s">
        <v>26</v>
      </c>
      <c r="R80" s="4">
        <v>0</v>
      </c>
      <c r="S80" s="4" t="s">
        <v>137</v>
      </c>
      <c r="T80" s="4" t="s">
        <v>289</v>
      </c>
      <c r="U80" s="4">
        <v>0</v>
      </c>
      <c r="V80" s="4">
        <v>5</v>
      </c>
      <c r="W80" s="4">
        <v>36</v>
      </c>
    </row>
    <row r="81" spans="1:23" ht="11.25" customHeight="1" x14ac:dyDescent="0.25">
      <c r="A81" s="4" t="s">
        <v>28</v>
      </c>
      <c r="B81" s="4" t="s">
        <v>22</v>
      </c>
      <c r="C81" s="4" t="s">
        <v>33</v>
      </c>
      <c r="D81" s="4" t="s">
        <v>24</v>
      </c>
      <c r="E81" s="4" t="s">
        <v>24</v>
      </c>
      <c r="F81" s="4" t="s">
        <v>25</v>
      </c>
      <c r="G81" s="4" t="s">
        <v>25</v>
      </c>
      <c r="H81" s="4" t="s">
        <v>36</v>
      </c>
      <c r="I81" s="5">
        <v>44531</v>
      </c>
      <c r="J81" s="6">
        <v>0</v>
      </c>
      <c r="K81" s="6">
        <v>0</v>
      </c>
      <c r="L81" s="6">
        <v>5.7000000000000002E-2</v>
      </c>
      <c r="M81" s="6">
        <v>5.7000000000000002E-2</v>
      </c>
      <c r="N81" s="6">
        <v>5.7000000000000002E-2</v>
      </c>
      <c r="O81" s="6">
        <v>5.7000000000000002E-2</v>
      </c>
      <c r="P81" s="6">
        <v>0</v>
      </c>
      <c r="Q81" s="4" t="s">
        <v>26</v>
      </c>
      <c r="R81" s="4">
        <v>0</v>
      </c>
      <c r="S81" s="4" t="s">
        <v>137</v>
      </c>
      <c r="T81" s="4" t="s">
        <v>289</v>
      </c>
      <c r="U81" s="4">
        <v>0</v>
      </c>
      <c r="V81" s="4">
        <v>5</v>
      </c>
      <c r="W81" s="4">
        <v>36</v>
      </c>
    </row>
    <row r="82" spans="1:23" ht="11.25" customHeight="1" x14ac:dyDescent="0.25">
      <c r="A82" s="4" t="s">
        <v>21</v>
      </c>
      <c r="B82" s="4" t="s">
        <v>22</v>
      </c>
      <c r="C82" s="4" t="s">
        <v>33</v>
      </c>
      <c r="D82" s="4" t="s">
        <v>24</v>
      </c>
      <c r="E82" s="4" t="s">
        <v>24</v>
      </c>
      <c r="F82" s="4" t="s">
        <v>25</v>
      </c>
      <c r="G82" s="4" t="s">
        <v>25</v>
      </c>
      <c r="H82" s="4" t="s">
        <v>36</v>
      </c>
      <c r="I82" s="5">
        <v>44562</v>
      </c>
      <c r="J82" s="6">
        <v>0</v>
      </c>
      <c r="K82" s="6">
        <v>0</v>
      </c>
      <c r="L82" s="6">
        <v>0.02</v>
      </c>
      <c r="M82" s="6">
        <v>0.02</v>
      </c>
      <c r="N82" s="6">
        <v>0.02</v>
      </c>
      <c r="O82" s="6">
        <v>0.02</v>
      </c>
      <c r="P82" s="6">
        <v>0</v>
      </c>
      <c r="Q82" s="4" t="s">
        <v>26</v>
      </c>
      <c r="R82" s="4">
        <v>0</v>
      </c>
      <c r="S82" s="4" t="s">
        <v>138</v>
      </c>
      <c r="T82" s="4" t="s">
        <v>290</v>
      </c>
      <c r="U82" s="4">
        <v>0</v>
      </c>
      <c r="V82" s="4">
        <v>5</v>
      </c>
      <c r="W82" s="4">
        <v>36</v>
      </c>
    </row>
    <row r="83" spans="1:23" ht="11.25" customHeight="1" x14ac:dyDescent="0.25">
      <c r="A83" s="4" t="s">
        <v>21</v>
      </c>
      <c r="B83" s="4" t="s">
        <v>22</v>
      </c>
      <c r="C83" s="4" t="s">
        <v>33</v>
      </c>
      <c r="D83" s="4" t="s">
        <v>24</v>
      </c>
      <c r="E83" s="4" t="s">
        <v>24</v>
      </c>
      <c r="F83" s="4" t="s">
        <v>25</v>
      </c>
      <c r="G83" s="4" t="s">
        <v>25</v>
      </c>
      <c r="H83" s="4" t="s">
        <v>36</v>
      </c>
      <c r="I83" s="5">
        <v>44593</v>
      </c>
      <c r="J83" s="6">
        <v>0</v>
      </c>
      <c r="K83" s="6">
        <v>0</v>
      </c>
      <c r="L83" s="6">
        <v>0.02</v>
      </c>
      <c r="M83" s="6">
        <v>0.02</v>
      </c>
      <c r="N83" s="6">
        <v>0.02</v>
      </c>
      <c r="O83" s="6">
        <v>0.02</v>
      </c>
      <c r="P83" s="6">
        <v>0</v>
      </c>
      <c r="Q83" s="4" t="s">
        <v>26</v>
      </c>
      <c r="R83" s="4">
        <v>0</v>
      </c>
      <c r="S83" s="4" t="s">
        <v>139</v>
      </c>
      <c r="T83" s="4" t="s">
        <v>291</v>
      </c>
      <c r="U83" s="4">
        <v>0</v>
      </c>
      <c r="V83" s="4">
        <v>5</v>
      </c>
      <c r="W83" s="4">
        <v>36</v>
      </c>
    </row>
    <row r="84" spans="1:23" ht="11.25" customHeight="1" x14ac:dyDescent="0.25">
      <c r="A84" s="4" t="s">
        <v>21</v>
      </c>
      <c r="B84" s="4" t="s">
        <v>22</v>
      </c>
      <c r="C84" s="4" t="s">
        <v>33</v>
      </c>
      <c r="D84" s="4" t="s">
        <v>24</v>
      </c>
      <c r="E84" s="4" t="s">
        <v>24</v>
      </c>
      <c r="F84" s="4" t="s">
        <v>25</v>
      </c>
      <c r="G84" s="4" t="s">
        <v>25</v>
      </c>
      <c r="H84" s="4" t="s">
        <v>36</v>
      </c>
      <c r="I84" s="5">
        <v>44621</v>
      </c>
      <c r="J84" s="6">
        <v>0</v>
      </c>
      <c r="K84" s="6">
        <v>0</v>
      </c>
      <c r="L84" s="6">
        <v>1.4999999999999999E-2</v>
      </c>
      <c r="M84" s="6">
        <v>1.4999999999999999E-2</v>
      </c>
      <c r="N84" s="6">
        <v>1.4999999999999999E-2</v>
      </c>
      <c r="O84" s="6">
        <v>1.4999999999999999E-2</v>
      </c>
      <c r="P84" s="6">
        <v>0</v>
      </c>
      <c r="Q84" s="4" t="s">
        <v>26</v>
      </c>
      <c r="R84" s="4">
        <v>0</v>
      </c>
      <c r="S84" s="4" t="s">
        <v>140</v>
      </c>
      <c r="T84" s="4" t="s">
        <v>292</v>
      </c>
      <c r="U84" s="4">
        <v>0</v>
      </c>
      <c r="V84" s="4">
        <v>5</v>
      </c>
      <c r="W84" s="4">
        <v>36</v>
      </c>
    </row>
    <row r="85" spans="1:23" ht="11.25" customHeight="1" x14ac:dyDescent="0.25">
      <c r="A85" s="4" t="s">
        <v>21</v>
      </c>
      <c r="B85" s="4" t="s">
        <v>22</v>
      </c>
      <c r="C85" s="4" t="s">
        <v>33</v>
      </c>
      <c r="D85" s="4" t="s">
        <v>24</v>
      </c>
      <c r="E85" s="4" t="s">
        <v>24</v>
      </c>
      <c r="F85" s="4" t="s">
        <v>25</v>
      </c>
      <c r="G85" s="4" t="s">
        <v>25</v>
      </c>
      <c r="H85" s="4" t="s">
        <v>34</v>
      </c>
      <c r="I85" s="5">
        <v>44378</v>
      </c>
      <c r="J85" s="6">
        <v>0</v>
      </c>
      <c r="K85" s="6">
        <v>0</v>
      </c>
      <c r="L85" s="6">
        <v>2.1999999999999999E-2</v>
      </c>
      <c r="M85" s="6">
        <v>2.1999999999999999E-2</v>
      </c>
      <c r="N85" s="6">
        <v>2.1999999999999999E-2</v>
      </c>
      <c r="O85" s="6">
        <v>2.1999999999999999E-2</v>
      </c>
      <c r="P85" s="6">
        <v>0</v>
      </c>
      <c r="Q85" s="4" t="s">
        <v>26</v>
      </c>
      <c r="R85" s="4">
        <v>0</v>
      </c>
      <c r="S85" s="4" t="s">
        <v>141</v>
      </c>
      <c r="T85" s="4" t="s">
        <v>293</v>
      </c>
      <c r="U85" s="4">
        <v>0</v>
      </c>
      <c r="V85" s="4">
        <v>10</v>
      </c>
      <c r="W85" s="4">
        <v>57</v>
      </c>
    </row>
    <row r="86" spans="1:23" ht="11.25" customHeight="1" x14ac:dyDescent="0.25">
      <c r="A86" s="4" t="s">
        <v>21</v>
      </c>
      <c r="B86" s="4" t="s">
        <v>22</v>
      </c>
      <c r="C86" s="4" t="s">
        <v>33</v>
      </c>
      <c r="D86" s="4" t="s">
        <v>24</v>
      </c>
      <c r="E86" s="4" t="s">
        <v>24</v>
      </c>
      <c r="F86" s="4" t="s">
        <v>25</v>
      </c>
      <c r="G86" s="4" t="s">
        <v>25</v>
      </c>
      <c r="H86" s="4" t="s">
        <v>34</v>
      </c>
      <c r="I86" s="5">
        <v>44409</v>
      </c>
      <c r="J86" s="6">
        <v>0</v>
      </c>
      <c r="K86" s="6">
        <v>0</v>
      </c>
      <c r="L86" s="6">
        <v>2.3E-2</v>
      </c>
      <c r="M86" s="6">
        <v>2.3E-2</v>
      </c>
      <c r="N86" s="6">
        <v>2.3E-2</v>
      </c>
      <c r="O86" s="6">
        <v>2.3E-2</v>
      </c>
      <c r="P86" s="6">
        <v>0</v>
      </c>
      <c r="Q86" s="4" t="s">
        <v>26</v>
      </c>
      <c r="R86" s="4">
        <v>0</v>
      </c>
      <c r="S86" s="4" t="s">
        <v>142</v>
      </c>
      <c r="T86" s="4" t="s">
        <v>294</v>
      </c>
      <c r="U86" s="4">
        <v>0</v>
      </c>
      <c r="V86" s="4">
        <v>10</v>
      </c>
      <c r="W86" s="4">
        <v>57</v>
      </c>
    </row>
    <row r="87" spans="1:23" ht="11.25" customHeight="1" x14ac:dyDescent="0.25">
      <c r="A87" s="4" t="s">
        <v>21</v>
      </c>
      <c r="B87" s="4" t="s">
        <v>22</v>
      </c>
      <c r="C87" s="4" t="s">
        <v>33</v>
      </c>
      <c r="D87" s="4" t="s">
        <v>24</v>
      </c>
      <c r="E87" s="4" t="s">
        <v>24</v>
      </c>
      <c r="F87" s="4" t="s">
        <v>25</v>
      </c>
      <c r="G87" s="4" t="s">
        <v>25</v>
      </c>
      <c r="H87" s="4" t="s">
        <v>34</v>
      </c>
      <c r="I87" s="5">
        <v>44440</v>
      </c>
      <c r="J87" s="6">
        <v>0</v>
      </c>
      <c r="K87" s="6">
        <v>0</v>
      </c>
      <c r="L87" s="6">
        <v>2.5999999999999999E-2</v>
      </c>
      <c r="M87" s="6">
        <v>2.5999999999999999E-2</v>
      </c>
      <c r="N87" s="6">
        <v>2.5999999999999999E-2</v>
      </c>
      <c r="O87" s="6">
        <v>2.5999999999999999E-2</v>
      </c>
      <c r="P87" s="6">
        <v>0</v>
      </c>
      <c r="Q87" s="4" t="s">
        <v>26</v>
      </c>
      <c r="R87" s="4">
        <v>0</v>
      </c>
      <c r="S87" s="4" t="s">
        <v>143</v>
      </c>
      <c r="T87" s="4" t="s">
        <v>295</v>
      </c>
      <c r="U87" s="4">
        <v>0</v>
      </c>
      <c r="V87" s="4">
        <v>10</v>
      </c>
      <c r="W87" s="4">
        <v>57</v>
      </c>
    </row>
    <row r="88" spans="1:23" ht="11.25" customHeight="1" x14ac:dyDescent="0.25">
      <c r="A88" s="4" t="s">
        <v>21</v>
      </c>
      <c r="B88" s="4" t="s">
        <v>22</v>
      </c>
      <c r="C88" s="4" t="s">
        <v>33</v>
      </c>
      <c r="D88" s="4" t="s">
        <v>24</v>
      </c>
      <c r="E88" s="4" t="s">
        <v>24</v>
      </c>
      <c r="F88" s="4" t="s">
        <v>25</v>
      </c>
      <c r="G88" s="4" t="s">
        <v>25</v>
      </c>
      <c r="H88" s="4" t="s">
        <v>34</v>
      </c>
      <c r="I88" s="5">
        <v>44470</v>
      </c>
      <c r="J88" s="6">
        <v>0</v>
      </c>
      <c r="K88" s="6">
        <v>0</v>
      </c>
      <c r="L88" s="6">
        <v>2.4E-2</v>
      </c>
      <c r="M88" s="6">
        <v>2.4E-2</v>
      </c>
      <c r="N88" s="6">
        <v>2.4E-2</v>
      </c>
      <c r="O88" s="6">
        <v>2.4E-2</v>
      </c>
      <c r="P88" s="6">
        <v>0</v>
      </c>
      <c r="Q88" s="4" t="s">
        <v>26</v>
      </c>
      <c r="R88" s="4">
        <v>0</v>
      </c>
      <c r="S88" s="4" t="s">
        <v>144</v>
      </c>
      <c r="T88" s="4" t="s">
        <v>296</v>
      </c>
      <c r="U88" s="4">
        <v>0</v>
      </c>
      <c r="V88" s="4">
        <v>10</v>
      </c>
      <c r="W88" s="4">
        <v>57</v>
      </c>
    </row>
    <row r="89" spans="1:23" ht="11.25" customHeight="1" x14ac:dyDescent="0.25">
      <c r="A89" s="4" t="s">
        <v>21</v>
      </c>
      <c r="B89" s="4" t="s">
        <v>22</v>
      </c>
      <c r="C89" s="4" t="s">
        <v>33</v>
      </c>
      <c r="D89" s="4" t="s">
        <v>24</v>
      </c>
      <c r="E89" s="4" t="s">
        <v>24</v>
      </c>
      <c r="F89" s="4" t="s">
        <v>25</v>
      </c>
      <c r="G89" s="4" t="s">
        <v>25</v>
      </c>
      <c r="H89" s="4" t="s">
        <v>34</v>
      </c>
      <c r="I89" s="5">
        <v>44501</v>
      </c>
      <c r="J89" s="6">
        <v>0</v>
      </c>
      <c r="K89" s="6">
        <v>0</v>
      </c>
      <c r="L89" s="6">
        <v>2.1999999999999999E-2</v>
      </c>
      <c r="M89" s="6">
        <v>2.1999999999999999E-2</v>
      </c>
      <c r="N89" s="6">
        <v>2.1999999999999999E-2</v>
      </c>
      <c r="O89" s="6">
        <v>2.1999999999999999E-2</v>
      </c>
      <c r="P89" s="6">
        <v>0</v>
      </c>
      <c r="Q89" s="4" t="s">
        <v>26</v>
      </c>
      <c r="R89" s="4">
        <v>0</v>
      </c>
      <c r="S89" s="4" t="s">
        <v>145</v>
      </c>
      <c r="T89" s="4" t="s">
        <v>297</v>
      </c>
      <c r="U89" s="4">
        <v>0</v>
      </c>
      <c r="V89" s="4">
        <v>10</v>
      </c>
      <c r="W89" s="4">
        <v>57</v>
      </c>
    </row>
    <row r="90" spans="1:23" ht="11.25" customHeight="1" x14ac:dyDescent="0.25">
      <c r="A90" s="4" t="s">
        <v>21</v>
      </c>
      <c r="B90" s="4" t="s">
        <v>22</v>
      </c>
      <c r="C90" s="4" t="s">
        <v>33</v>
      </c>
      <c r="D90" s="4" t="s">
        <v>24</v>
      </c>
      <c r="E90" s="4" t="s">
        <v>24</v>
      </c>
      <c r="F90" s="4" t="s">
        <v>25</v>
      </c>
      <c r="G90" s="4" t="s">
        <v>25</v>
      </c>
      <c r="H90" s="4" t="s">
        <v>34</v>
      </c>
      <c r="I90" s="5">
        <v>44531</v>
      </c>
      <c r="J90" s="6">
        <v>0</v>
      </c>
      <c r="K90" s="6">
        <v>0</v>
      </c>
      <c r="L90" s="6">
        <v>2.7E-2</v>
      </c>
      <c r="M90" s="6">
        <v>2.7E-2</v>
      </c>
      <c r="N90" s="6">
        <v>2.7E-2</v>
      </c>
      <c r="O90" s="6">
        <v>2.7E-2</v>
      </c>
      <c r="P90" s="6">
        <v>0</v>
      </c>
      <c r="Q90" s="4" t="s">
        <v>26</v>
      </c>
      <c r="R90" s="4">
        <v>0</v>
      </c>
      <c r="S90" s="4" t="s">
        <v>146</v>
      </c>
      <c r="T90" s="4" t="s">
        <v>298</v>
      </c>
      <c r="U90" s="4">
        <v>0</v>
      </c>
      <c r="V90" s="4">
        <v>10</v>
      </c>
      <c r="W90" s="4">
        <v>57</v>
      </c>
    </row>
    <row r="91" spans="1:23" ht="11.25" customHeight="1" x14ac:dyDescent="0.25">
      <c r="A91" s="4" t="s">
        <v>21</v>
      </c>
      <c r="B91" s="4" t="s">
        <v>22</v>
      </c>
      <c r="C91" s="4" t="s">
        <v>33</v>
      </c>
      <c r="D91" s="4" t="s">
        <v>24</v>
      </c>
      <c r="E91" s="4" t="s">
        <v>24</v>
      </c>
      <c r="F91" s="4" t="s">
        <v>25</v>
      </c>
      <c r="G91" s="4" t="s">
        <v>25</v>
      </c>
      <c r="H91" s="4" t="s">
        <v>34</v>
      </c>
      <c r="I91" s="5">
        <v>44562</v>
      </c>
      <c r="J91" s="6">
        <v>0</v>
      </c>
      <c r="K91" s="6">
        <v>0</v>
      </c>
      <c r="L91" s="6">
        <v>2.9000000000000001E-2</v>
      </c>
      <c r="M91" s="6">
        <v>2.9000000000000001E-2</v>
      </c>
      <c r="N91" s="6">
        <v>2.9000000000000001E-2</v>
      </c>
      <c r="O91" s="6">
        <v>2.9000000000000001E-2</v>
      </c>
      <c r="P91" s="6">
        <v>0</v>
      </c>
      <c r="Q91" s="4" t="s">
        <v>26</v>
      </c>
      <c r="R91" s="4">
        <v>0</v>
      </c>
      <c r="S91" s="4" t="s">
        <v>147</v>
      </c>
      <c r="T91" s="4" t="s">
        <v>299</v>
      </c>
      <c r="U91" s="4">
        <v>0</v>
      </c>
      <c r="V91" s="4">
        <v>10</v>
      </c>
      <c r="W91" s="4">
        <v>57</v>
      </c>
    </row>
    <row r="92" spans="1:23" ht="11.25" customHeight="1" x14ac:dyDescent="0.25">
      <c r="A92" s="4" t="s">
        <v>21</v>
      </c>
      <c r="B92" s="4" t="s">
        <v>22</v>
      </c>
      <c r="C92" s="4" t="s">
        <v>33</v>
      </c>
      <c r="D92" s="4" t="s">
        <v>24</v>
      </c>
      <c r="E92" s="4" t="s">
        <v>24</v>
      </c>
      <c r="F92" s="4" t="s">
        <v>25</v>
      </c>
      <c r="G92" s="4" t="s">
        <v>25</v>
      </c>
      <c r="H92" s="4" t="s">
        <v>34</v>
      </c>
      <c r="I92" s="5">
        <v>44593</v>
      </c>
      <c r="J92" s="6">
        <v>0</v>
      </c>
      <c r="K92" s="6">
        <v>0</v>
      </c>
      <c r="L92" s="6">
        <v>2.9000000000000001E-2</v>
      </c>
      <c r="M92" s="6">
        <v>2.9000000000000001E-2</v>
      </c>
      <c r="N92" s="6">
        <v>2.9000000000000001E-2</v>
      </c>
      <c r="O92" s="6">
        <v>2.9000000000000001E-2</v>
      </c>
      <c r="P92" s="6">
        <v>0</v>
      </c>
      <c r="Q92" s="4" t="s">
        <v>26</v>
      </c>
      <c r="R92" s="4">
        <v>0</v>
      </c>
      <c r="S92" s="4" t="s">
        <v>148</v>
      </c>
      <c r="T92" s="4" t="s">
        <v>300</v>
      </c>
      <c r="U92" s="4">
        <v>0</v>
      </c>
      <c r="V92" s="4">
        <v>10</v>
      </c>
      <c r="W92" s="4">
        <v>57</v>
      </c>
    </row>
    <row r="93" spans="1:23" ht="11.25" customHeight="1" x14ac:dyDescent="0.25">
      <c r="A93" s="4" t="s">
        <v>21</v>
      </c>
      <c r="B93" s="4" t="s">
        <v>22</v>
      </c>
      <c r="C93" s="4" t="s">
        <v>33</v>
      </c>
      <c r="D93" s="4" t="s">
        <v>24</v>
      </c>
      <c r="E93" s="4" t="s">
        <v>24</v>
      </c>
      <c r="F93" s="4" t="s">
        <v>25</v>
      </c>
      <c r="G93" s="4" t="s">
        <v>25</v>
      </c>
      <c r="H93" s="4" t="s">
        <v>34</v>
      </c>
      <c r="I93" s="5">
        <v>44621</v>
      </c>
      <c r="J93" s="6">
        <v>0</v>
      </c>
      <c r="K93" s="6">
        <v>0</v>
      </c>
      <c r="L93" s="6">
        <v>2.4E-2</v>
      </c>
      <c r="M93" s="6">
        <v>2.4E-2</v>
      </c>
      <c r="N93" s="6">
        <v>2.4E-2</v>
      </c>
      <c r="O93" s="6">
        <v>2.4E-2</v>
      </c>
      <c r="P93" s="6">
        <v>0</v>
      </c>
      <c r="Q93" s="4" t="s">
        <v>26</v>
      </c>
      <c r="R93" s="4">
        <v>0</v>
      </c>
      <c r="S93" s="4" t="s">
        <v>149</v>
      </c>
      <c r="T93" s="4" t="s">
        <v>301</v>
      </c>
      <c r="U93" s="4">
        <v>0</v>
      </c>
      <c r="V93" s="4">
        <v>10</v>
      </c>
      <c r="W93" s="4">
        <v>57</v>
      </c>
    </row>
    <row r="94" spans="1:2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24</v>
      </c>
      <c r="F94" s="4" t="s">
        <v>25</v>
      </c>
      <c r="G94" s="4" t="s">
        <v>25</v>
      </c>
      <c r="H94" s="4" t="s">
        <v>25</v>
      </c>
      <c r="I94" s="5">
        <v>44378</v>
      </c>
      <c r="J94" s="6">
        <v>0</v>
      </c>
      <c r="K94" s="6">
        <v>0</v>
      </c>
      <c r="L94" s="6">
        <v>990.41099999999994</v>
      </c>
      <c r="M94" s="6">
        <v>990.41099999999994</v>
      </c>
      <c r="N94" s="6">
        <v>990.41099999999994</v>
      </c>
      <c r="O94" s="6">
        <v>990.41099999999994</v>
      </c>
      <c r="P94" s="6">
        <v>6042</v>
      </c>
      <c r="Q94" s="4" t="s">
        <v>26</v>
      </c>
      <c r="R94" s="4">
        <v>0</v>
      </c>
      <c r="S94" s="4" t="s">
        <v>150</v>
      </c>
      <c r="T94" s="4" t="s">
        <v>302</v>
      </c>
      <c r="U94" s="4">
        <v>0</v>
      </c>
      <c r="V94" s="4">
        <v>24</v>
      </c>
      <c r="W94" s="4">
        <v>26</v>
      </c>
    </row>
    <row r="95" spans="1:23" ht="11.25" customHeight="1" x14ac:dyDescent="0.25">
      <c r="A95" s="4" t="s">
        <v>27</v>
      </c>
      <c r="B95" s="4" t="s">
        <v>22</v>
      </c>
      <c r="C95" s="4" t="s">
        <v>23</v>
      </c>
      <c r="D95" s="4" t="s">
        <v>24</v>
      </c>
      <c r="E95" s="4" t="s">
        <v>24</v>
      </c>
      <c r="F95" s="4" t="s">
        <v>25</v>
      </c>
      <c r="G95" s="4" t="s">
        <v>25</v>
      </c>
      <c r="H95" s="4" t="s">
        <v>25</v>
      </c>
      <c r="I95" s="5">
        <v>44378</v>
      </c>
      <c r="J95" s="6">
        <v>0</v>
      </c>
      <c r="K95" s="6">
        <v>0</v>
      </c>
      <c r="L95" s="6">
        <v>-1.371</v>
      </c>
      <c r="M95" s="6">
        <v>-1.371</v>
      </c>
      <c r="N95" s="6">
        <v>-1.371</v>
      </c>
      <c r="O95" s="6">
        <v>-1.371</v>
      </c>
      <c r="P95" s="6">
        <v>0</v>
      </c>
      <c r="Q95" s="4" t="s">
        <v>26</v>
      </c>
      <c r="R95" s="4">
        <v>0</v>
      </c>
      <c r="S95" s="4" t="s">
        <v>150</v>
      </c>
      <c r="T95" s="4" t="s">
        <v>302</v>
      </c>
      <c r="U95" s="4">
        <v>0</v>
      </c>
      <c r="V95" s="4">
        <v>24</v>
      </c>
      <c r="W95" s="4">
        <v>26</v>
      </c>
    </row>
    <row r="96" spans="1:23" ht="11.25" customHeight="1" x14ac:dyDescent="0.25">
      <c r="A96" s="4" t="s">
        <v>28</v>
      </c>
      <c r="B96" s="4" t="s">
        <v>22</v>
      </c>
      <c r="C96" s="4" t="s">
        <v>23</v>
      </c>
      <c r="D96" s="4" t="s">
        <v>24</v>
      </c>
      <c r="E96" s="4" t="s">
        <v>24</v>
      </c>
      <c r="F96" s="4" t="s">
        <v>25</v>
      </c>
      <c r="G96" s="4" t="s">
        <v>25</v>
      </c>
      <c r="H96" s="4" t="s">
        <v>25</v>
      </c>
      <c r="I96" s="5">
        <v>44378</v>
      </c>
      <c r="J96" s="6">
        <v>0</v>
      </c>
      <c r="K96" s="6">
        <v>0</v>
      </c>
      <c r="L96" s="6">
        <v>1.0529999999999999</v>
      </c>
      <c r="M96" s="6">
        <v>1.0529999999999999</v>
      </c>
      <c r="N96" s="6">
        <v>1.0529999999999999</v>
      </c>
      <c r="O96" s="6">
        <v>1.0529999999999999</v>
      </c>
      <c r="P96" s="6">
        <v>9</v>
      </c>
      <c r="Q96" s="4" t="s">
        <v>26</v>
      </c>
      <c r="R96" s="4">
        <v>0</v>
      </c>
      <c r="S96" s="4" t="s">
        <v>150</v>
      </c>
      <c r="T96" s="4" t="s">
        <v>302</v>
      </c>
      <c r="U96" s="4">
        <v>0</v>
      </c>
      <c r="V96" s="4">
        <v>24</v>
      </c>
      <c r="W96" s="4">
        <v>26</v>
      </c>
    </row>
    <row r="97" spans="1:2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24</v>
      </c>
      <c r="F97" s="4" t="s">
        <v>25</v>
      </c>
      <c r="G97" s="4" t="s">
        <v>25</v>
      </c>
      <c r="H97" s="4" t="s">
        <v>25</v>
      </c>
      <c r="I97" s="5">
        <v>44409</v>
      </c>
      <c r="J97" s="6">
        <v>0</v>
      </c>
      <c r="K97" s="6">
        <v>0</v>
      </c>
      <c r="L97" s="6">
        <v>1058.614</v>
      </c>
      <c r="M97" s="6">
        <v>1058.614</v>
      </c>
      <c r="N97" s="6">
        <v>1058.614</v>
      </c>
      <c r="O97" s="6">
        <v>1058.614</v>
      </c>
      <c r="P97" s="6">
        <v>6049</v>
      </c>
      <c r="Q97" s="4" t="s">
        <v>26</v>
      </c>
      <c r="R97" s="4">
        <v>0</v>
      </c>
      <c r="S97" s="4" t="s">
        <v>151</v>
      </c>
      <c r="T97" s="4" t="s">
        <v>303</v>
      </c>
      <c r="U97" s="4">
        <v>0</v>
      </c>
      <c r="V97" s="4">
        <v>24</v>
      </c>
      <c r="W97" s="4">
        <v>26</v>
      </c>
    </row>
    <row r="98" spans="1:23" ht="11.25" customHeight="1" x14ac:dyDescent="0.25">
      <c r="A98" s="4" t="s">
        <v>28</v>
      </c>
      <c r="B98" s="4" t="s">
        <v>22</v>
      </c>
      <c r="C98" s="4" t="s">
        <v>23</v>
      </c>
      <c r="D98" s="4" t="s">
        <v>24</v>
      </c>
      <c r="E98" s="4" t="s">
        <v>24</v>
      </c>
      <c r="F98" s="4" t="s">
        <v>25</v>
      </c>
      <c r="G98" s="4" t="s">
        <v>25</v>
      </c>
      <c r="H98" s="4" t="s">
        <v>25</v>
      </c>
      <c r="I98" s="5">
        <v>44409</v>
      </c>
      <c r="J98" s="6">
        <v>0</v>
      </c>
      <c r="K98" s="6">
        <v>0</v>
      </c>
      <c r="L98" s="6">
        <v>1.0389999999999999</v>
      </c>
      <c r="M98" s="6">
        <v>1.0389999999999999</v>
      </c>
      <c r="N98" s="6">
        <v>1.0389999999999999</v>
      </c>
      <c r="O98" s="6">
        <v>1.0389999999999999</v>
      </c>
      <c r="P98" s="6">
        <v>9</v>
      </c>
      <c r="Q98" s="4" t="s">
        <v>26</v>
      </c>
      <c r="R98" s="4">
        <v>0</v>
      </c>
      <c r="S98" s="4" t="s">
        <v>151</v>
      </c>
      <c r="T98" s="4" t="s">
        <v>303</v>
      </c>
      <c r="U98" s="4">
        <v>0</v>
      </c>
      <c r="V98" s="4">
        <v>24</v>
      </c>
      <c r="W98" s="4">
        <v>26</v>
      </c>
    </row>
    <row r="99" spans="1:23" ht="11.25" customHeight="1" x14ac:dyDescent="0.25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24</v>
      </c>
      <c r="F99" s="4" t="s">
        <v>25</v>
      </c>
      <c r="G99" s="4" t="s">
        <v>25</v>
      </c>
      <c r="H99" s="4" t="s">
        <v>25</v>
      </c>
      <c r="I99" s="5">
        <v>44440</v>
      </c>
      <c r="J99" s="6">
        <v>0</v>
      </c>
      <c r="K99" s="6">
        <v>0</v>
      </c>
      <c r="L99" s="6">
        <v>1019.7910000000001</v>
      </c>
      <c r="M99" s="6">
        <v>1019.7910000000001</v>
      </c>
      <c r="N99" s="6">
        <v>1019.7910000000001</v>
      </c>
      <c r="O99" s="6">
        <v>1019.7910000000001</v>
      </c>
      <c r="P99" s="6">
        <v>6068</v>
      </c>
      <c r="Q99" s="4" t="s">
        <v>26</v>
      </c>
      <c r="R99" s="4">
        <v>0</v>
      </c>
      <c r="S99" s="4" t="s">
        <v>152</v>
      </c>
      <c r="T99" s="4" t="s">
        <v>304</v>
      </c>
      <c r="U99" s="4">
        <v>0</v>
      </c>
      <c r="V99" s="4">
        <v>24</v>
      </c>
      <c r="W99" s="4">
        <v>26</v>
      </c>
    </row>
    <row r="100" spans="1:23" ht="11.25" customHeight="1" x14ac:dyDescent="0.25">
      <c r="A100" s="4" t="s">
        <v>27</v>
      </c>
      <c r="B100" s="4" t="s">
        <v>22</v>
      </c>
      <c r="C100" s="4" t="s">
        <v>23</v>
      </c>
      <c r="D100" s="4" t="s">
        <v>24</v>
      </c>
      <c r="E100" s="4" t="s">
        <v>24</v>
      </c>
      <c r="F100" s="4" t="s">
        <v>25</v>
      </c>
      <c r="G100" s="4" t="s">
        <v>25</v>
      </c>
      <c r="H100" s="4" t="s">
        <v>25</v>
      </c>
      <c r="I100" s="5">
        <v>44440</v>
      </c>
      <c r="J100" s="6">
        <v>0</v>
      </c>
      <c r="K100" s="6">
        <v>0</v>
      </c>
      <c r="L100" s="6">
        <v>-0.21299999999999999</v>
      </c>
      <c r="M100" s="6">
        <v>-0.21299999999999999</v>
      </c>
      <c r="N100" s="6">
        <v>-0.21299999999999999</v>
      </c>
      <c r="O100" s="6">
        <v>-0.21299999999999999</v>
      </c>
      <c r="P100" s="6">
        <v>0</v>
      </c>
      <c r="Q100" s="4" t="s">
        <v>26</v>
      </c>
      <c r="R100" s="4">
        <v>0</v>
      </c>
      <c r="S100" s="4" t="s">
        <v>152</v>
      </c>
      <c r="T100" s="4" t="s">
        <v>304</v>
      </c>
      <c r="U100" s="4">
        <v>0</v>
      </c>
      <c r="V100" s="4">
        <v>24</v>
      </c>
      <c r="W100" s="4">
        <v>26</v>
      </c>
    </row>
    <row r="101" spans="1:23" ht="11.25" customHeight="1" x14ac:dyDescent="0.25">
      <c r="A101" s="4" t="s">
        <v>28</v>
      </c>
      <c r="B101" s="4" t="s">
        <v>22</v>
      </c>
      <c r="C101" s="4" t="s">
        <v>23</v>
      </c>
      <c r="D101" s="4" t="s">
        <v>24</v>
      </c>
      <c r="E101" s="4" t="s">
        <v>24</v>
      </c>
      <c r="F101" s="4" t="s">
        <v>25</v>
      </c>
      <c r="G101" s="4" t="s">
        <v>25</v>
      </c>
      <c r="H101" s="4" t="s">
        <v>25</v>
      </c>
      <c r="I101" s="5">
        <v>44440</v>
      </c>
      <c r="J101" s="6">
        <v>0</v>
      </c>
      <c r="K101" s="6">
        <v>0</v>
      </c>
      <c r="L101" s="6">
        <v>1.869</v>
      </c>
      <c r="M101" s="6">
        <v>1.869</v>
      </c>
      <c r="N101" s="6">
        <v>1.869</v>
      </c>
      <c r="O101" s="6">
        <v>1.869</v>
      </c>
      <c r="P101" s="6">
        <v>11</v>
      </c>
      <c r="Q101" s="4" t="s">
        <v>26</v>
      </c>
      <c r="R101" s="4">
        <v>0</v>
      </c>
      <c r="S101" s="4" t="s">
        <v>152</v>
      </c>
      <c r="T101" s="4" t="s">
        <v>304</v>
      </c>
      <c r="U101" s="4">
        <v>0</v>
      </c>
      <c r="V101" s="4">
        <v>24</v>
      </c>
      <c r="W101" s="4">
        <v>26</v>
      </c>
    </row>
    <row r="102" spans="1:23" ht="11.25" customHeight="1" x14ac:dyDescent="0.25">
      <c r="A102" s="4" t="s">
        <v>21</v>
      </c>
      <c r="B102" s="4" t="s">
        <v>22</v>
      </c>
      <c r="C102" s="4" t="s">
        <v>23</v>
      </c>
      <c r="D102" s="4" t="s">
        <v>24</v>
      </c>
      <c r="E102" s="4" t="s">
        <v>24</v>
      </c>
      <c r="F102" s="4" t="s">
        <v>25</v>
      </c>
      <c r="G102" s="4" t="s">
        <v>25</v>
      </c>
      <c r="H102" s="4" t="s">
        <v>25</v>
      </c>
      <c r="I102" s="5">
        <v>44470</v>
      </c>
      <c r="J102" s="6">
        <v>0</v>
      </c>
      <c r="K102" s="6">
        <v>0</v>
      </c>
      <c r="L102" s="6">
        <v>1046.424</v>
      </c>
      <c r="M102" s="6">
        <v>1046.424</v>
      </c>
      <c r="N102" s="6">
        <v>1046.424</v>
      </c>
      <c r="O102" s="6">
        <v>1046.424</v>
      </c>
      <c r="P102" s="6">
        <v>6077</v>
      </c>
      <c r="Q102" s="4" t="s">
        <v>26</v>
      </c>
      <c r="R102" s="4">
        <v>0</v>
      </c>
      <c r="S102" s="4" t="s">
        <v>153</v>
      </c>
      <c r="T102" s="4" t="s">
        <v>305</v>
      </c>
      <c r="U102" s="4">
        <v>0</v>
      </c>
      <c r="V102" s="4">
        <v>24</v>
      </c>
      <c r="W102" s="4">
        <v>26</v>
      </c>
    </row>
    <row r="103" spans="1:23" ht="11.25" customHeight="1" x14ac:dyDescent="0.25">
      <c r="A103" s="4" t="s">
        <v>27</v>
      </c>
      <c r="B103" s="4" t="s">
        <v>22</v>
      </c>
      <c r="C103" s="4" t="s">
        <v>23</v>
      </c>
      <c r="D103" s="4" t="s">
        <v>24</v>
      </c>
      <c r="E103" s="4" t="s">
        <v>24</v>
      </c>
      <c r="F103" s="4" t="s">
        <v>25</v>
      </c>
      <c r="G103" s="4" t="s">
        <v>25</v>
      </c>
      <c r="H103" s="4" t="s">
        <v>25</v>
      </c>
      <c r="I103" s="5">
        <v>44470</v>
      </c>
      <c r="J103" s="6">
        <v>0</v>
      </c>
      <c r="K103" s="6">
        <v>0</v>
      </c>
      <c r="L103" s="6">
        <v>-1.2999999999999999E-2</v>
      </c>
      <c r="M103" s="6">
        <v>-1.2999999999999999E-2</v>
      </c>
      <c r="N103" s="6">
        <v>-1.2999999999999999E-2</v>
      </c>
      <c r="O103" s="6">
        <v>-1.2999999999999999E-2</v>
      </c>
      <c r="P103" s="6">
        <v>0</v>
      </c>
      <c r="Q103" s="4" t="s">
        <v>26</v>
      </c>
      <c r="R103" s="4">
        <v>0</v>
      </c>
      <c r="S103" s="4" t="s">
        <v>153</v>
      </c>
      <c r="T103" s="4" t="s">
        <v>305</v>
      </c>
      <c r="U103" s="4">
        <v>0</v>
      </c>
      <c r="V103" s="4">
        <v>24</v>
      </c>
      <c r="W103" s="4">
        <v>26</v>
      </c>
    </row>
    <row r="104" spans="1:23" ht="11.25" customHeight="1" x14ac:dyDescent="0.25">
      <c r="A104" s="4" t="s">
        <v>28</v>
      </c>
      <c r="B104" s="4" t="s">
        <v>22</v>
      </c>
      <c r="C104" s="4" t="s">
        <v>23</v>
      </c>
      <c r="D104" s="4" t="s">
        <v>24</v>
      </c>
      <c r="E104" s="4" t="s">
        <v>24</v>
      </c>
      <c r="F104" s="4" t="s">
        <v>25</v>
      </c>
      <c r="G104" s="4" t="s">
        <v>25</v>
      </c>
      <c r="H104" s="4" t="s">
        <v>25</v>
      </c>
      <c r="I104" s="5">
        <v>44470</v>
      </c>
      <c r="J104" s="6">
        <v>0</v>
      </c>
      <c r="K104" s="6">
        <v>0</v>
      </c>
      <c r="L104" s="6">
        <v>1.542</v>
      </c>
      <c r="M104" s="6">
        <v>1.542</v>
      </c>
      <c r="N104" s="6">
        <v>1.542</v>
      </c>
      <c r="O104" s="6">
        <v>1.542</v>
      </c>
      <c r="P104" s="6">
        <v>12</v>
      </c>
      <c r="Q104" s="4" t="s">
        <v>26</v>
      </c>
      <c r="R104" s="4">
        <v>0</v>
      </c>
      <c r="S104" s="4" t="s">
        <v>153</v>
      </c>
      <c r="T104" s="4" t="s">
        <v>305</v>
      </c>
      <c r="U104" s="4">
        <v>0</v>
      </c>
      <c r="V104" s="4">
        <v>24</v>
      </c>
      <c r="W104" s="4">
        <v>26</v>
      </c>
    </row>
    <row r="105" spans="1:23" ht="11.25" customHeight="1" x14ac:dyDescent="0.25">
      <c r="A105" s="4" t="s">
        <v>21</v>
      </c>
      <c r="B105" s="4" t="s">
        <v>22</v>
      </c>
      <c r="C105" s="4" t="s">
        <v>23</v>
      </c>
      <c r="D105" s="4" t="s">
        <v>24</v>
      </c>
      <c r="E105" s="4" t="s">
        <v>24</v>
      </c>
      <c r="F105" s="4" t="s">
        <v>25</v>
      </c>
      <c r="G105" s="4" t="s">
        <v>25</v>
      </c>
      <c r="H105" s="4" t="s">
        <v>25</v>
      </c>
      <c r="I105" s="5">
        <v>44501</v>
      </c>
      <c r="J105" s="6">
        <v>0</v>
      </c>
      <c r="K105" s="6">
        <v>0</v>
      </c>
      <c r="L105" s="6">
        <v>1000.038</v>
      </c>
      <c r="M105" s="6">
        <v>1000.038</v>
      </c>
      <c r="N105" s="6">
        <v>1000.038</v>
      </c>
      <c r="O105" s="6">
        <v>1000.038</v>
      </c>
      <c r="P105" s="6">
        <v>6064</v>
      </c>
      <c r="Q105" s="4" t="s">
        <v>26</v>
      </c>
      <c r="R105" s="4">
        <v>0</v>
      </c>
      <c r="S105" s="4" t="s">
        <v>154</v>
      </c>
      <c r="T105" s="4" t="s">
        <v>306</v>
      </c>
      <c r="U105" s="4">
        <v>0</v>
      </c>
      <c r="V105" s="4">
        <v>24</v>
      </c>
      <c r="W105" s="4">
        <v>26</v>
      </c>
    </row>
    <row r="106" spans="1:23" ht="11.25" customHeight="1" x14ac:dyDescent="0.25">
      <c r="A106" s="4" t="s">
        <v>27</v>
      </c>
      <c r="B106" s="4" t="s">
        <v>22</v>
      </c>
      <c r="C106" s="4" t="s">
        <v>23</v>
      </c>
      <c r="D106" s="4" t="s">
        <v>24</v>
      </c>
      <c r="E106" s="4" t="s">
        <v>24</v>
      </c>
      <c r="F106" s="4" t="s">
        <v>25</v>
      </c>
      <c r="G106" s="4" t="s">
        <v>25</v>
      </c>
      <c r="H106" s="4" t="s">
        <v>25</v>
      </c>
      <c r="I106" s="5">
        <v>44501</v>
      </c>
      <c r="J106" s="6">
        <v>0</v>
      </c>
      <c r="K106" s="6">
        <v>0</v>
      </c>
      <c r="L106" s="6">
        <v>-0.17399999999999999</v>
      </c>
      <c r="M106" s="6">
        <v>-0.17399999999999999</v>
      </c>
      <c r="N106" s="6">
        <v>-0.17399999999999999</v>
      </c>
      <c r="O106" s="6">
        <v>-0.17399999999999999</v>
      </c>
      <c r="P106" s="6">
        <v>0</v>
      </c>
      <c r="Q106" s="4" t="s">
        <v>26</v>
      </c>
      <c r="R106" s="4">
        <v>0</v>
      </c>
      <c r="S106" s="4" t="s">
        <v>154</v>
      </c>
      <c r="T106" s="4" t="s">
        <v>306</v>
      </c>
      <c r="U106" s="4">
        <v>0</v>
      </c>
      <c r="V106" s="4">
        <v>24</v>
      </c>
      <c r="W106" s="4">
        <v>26</v>
      </c>
    </row>
    <row r="107" spans="1:23" ht="11.25" customHeight="1" x14ac:dyDescent="0.25">
      <c r="A107" s="4" t="s">
        <v>28</v>
      </c>
      <c r="B107" s="4" t="s">
        <v>22</v>
      </c>
      <c r="C107" s="4" t="s">
        <v>23</v>
      </c>
      <c r="D107" s="4" t="s">
        <v>24</v>
      </c>
      <c r="E107" s="4" t="s">
        <v>24</v>
      </c>
      <c r="F107" s="4" t="s">
        <v>25</v>
      </c>
      <c r="G107" s="4" t="s">
        <v>25</v>
      </c>
      <c r="H107" s="4" t="s">
        <v>25</v>
      </c>
      <c r="I107" s="5">
        <v>44501</v>
      </c>
      <c r="J107" s="6">
        <v>0</v>
      </c>
      <c r="K107" s="6">
        <v>0</v>
      </c>
      <c r="L107" s="6">
        <v>0.91800000000000004</v>
      </c>
      <c r="M107" s="6">
        <v>0.91800000000000004</v>
      </c>
      <c r="N107" s="6">
        <v>0.91800000000000004</v>
      </c>
      <c r="O107" s="6">
        <v>0.91800000000000004</v>
      </c>
      <c r="P107" s="6">
        <v>13</v>
      </c>
      <c r="Q107" s="4" t="s">
        <v>26</v>
      </c>
      <c r="R107" s="4">
        <v>0</v>
      </c>
      <c r="S107" s="4" t="s">
        <v>154</v>
      </c>
      <c r="T107" s="4" t="s">
        <v>306</v>
      </c>
      <c r="U107" s="4">
        <v>0</v>
      </c>
      <c r="V107" s="4">
        <v>24</v>
      </c>
      <c r="W107" s="4">
        <v>26</v>
      </c>
    </row>
    <row r="108" spans="1:23" ht="11.25" customHeight="1" x14ac:dyDescent="0.25">
      <c r="A108" s="4" t="s">
        <v>21</v>
      </c>
      <c r="B108" s="4" t="s">
        <v>22</v>
      </c>
      <c r="C108" s="4" t="s">
        <v>23</v>
      </c>
      <c r="D108" s="4" t="s">
        <v>24</v>
      </c>
      <c r="E108" s="4" t="s">
        <v>24</v>
      </c>
      <c r="F108" s="4" t="s">
        <v>25</v>
      </c>
      <c r="G108" s="4" t="s">
        <v>25</v>
      </c>
      <c r="H108" s="4" t="s">
        <v>25</v>
      </c>
      <c r="I108" s="5">
        <v>44531</v>
      </c>
      <c r="J108" s="6">
        <v>0</v>
      </c>
      <c r="K108" s="6">
        <v>0</v>
      </c>
      <c r="L108" s="6">
        <v>964.93299999999999</v>
      </c>
      <c r="M108" s="6">
        <v>964.93299999999999</v>
      </c>
      <c r="N108" s="6">
        <v>964.93299999999999</v>
      </c>
      <c r="O108" s="6">
        <v>964.93299999999999</v>
      </c>
      <c r="P108" s="6">
        <v>6067</v>
      </c>
      <c r="Q108" s="4" t="s">
        <v>26</v>
      </c>
      <c r="R108" s="4">
        <v>0</v>
      </c>
      <c r="S108" s="4" t="s">
        <v>155</v>
      </c>
      <c r="T108" s="4" t="s">
        <v>307</v>
      </c>
      <c r="U108" s="4">
        <v>0</v>
      </c>
      <c r="V108" s="4">
        <v>24</v>
      </c>
      <c r="W108" s="4">
        <v>26</v>
      </c>
    </row>
    <row r="109" spans="1:23" ht="11.25" customHeight="1" x14ac:dyDescent="0.25">
      <c r="A109" s="4" t="s">
        <v>28</v>
      </c>
      <c r="B109" s="4" t="s">
        <v>22</v>
      </c>
      <c r="C109" s="4" t="s">
        <v>23</v>
      </c>
      <c r="D109" s="4" t="s">
        <v>24</v>
      </c>
      <c r="E109" s="4" t="s">
        <v>24</v>
      </c>
      <c r="F109" s="4" t="s">
        <v>25</v>
      </c>
      <c r="G109" s="4" t="s">
        <v>25</v>
      </c>
      <c r="H109" s="4" t="s">
        <v>25</v>
      </c>
      <c r="I109" s="5">
        <v>44531</v>
      </c>
      <c r="J109" s="6">
        <v>0</v>
      </c>
      <c r="K109" s="6">
        <v>0</v>
      </c>
      <c r="L109" s="6">
        <v>0.83799999999999997</v>
      </c>
      <c r="M109" s="6">
        <v>0.83799999999999997</v>
      </c>
      <c r="N109" s="6">
        <v>0.83799999999999997</v>
      </c>
      <c r="O109" s="6">
        <v>0.83799999999999997</v>
      </c>
      <c r="P109" s="6">
        <v>15</v>
      </c>
      <c r="Q109" s="4" t="s">
        <v>26</v>
      </c>
      <c r="R109" s="4">
        <v>0</v>
      </c>
      <c r="S109" s="4" t="s">
        <v>155</v>
      </c>
      <c r="T109" s="4" t="s">
        <v>307</v>
      </c>
      <c r="U109" s="4">
        <v>0</v>
      </c>
      <c r="V109" s="4">
        <v>24</v>
      </c>
      <c r="W109" s="4">
        <v>26</v>
      </c>
    </row>
    <row r="110" spans="1:23" ht="11.25" customHeight="1" x14ac:dyDescent="0.25">
      <c r="A110" s="4" t="s">
        <v>21</v>
      </c>
      <c r="B110" s="4" t="s">
        <v>22</v>
      </c>
      <c r="C110" s="4" t="s">
        <v>23</v>
      </c>
      <c r="D110" s="4" t="s">
        <v>24</v>
      </c>
      <c r="E110" s="4" t="s">
        <v>24</v>
      </c>
      <c r="F110" s="4" t="s">
        <v>25</v>
      </c>
      <c r="G110" s="4" t="s">
        <v>25</v>
      </c>
      <c r="H110" s="4" t="s">
        <v>25</v>
      </c>
      <c r="I110" s="5">
        <v>44562</v>
      </c>
      <c r="J110" s="6">
        <v>0</v>
      </c>
      <c r="K110" s="6">
        <v>0</v>
      </c>
      <c r="L110" s="6">
        <v>1096.056</v>
      </c>
      <c r="M110" s="6">
        <v>1096.056</v>
      </c>
      <c r="N110" s="6">
        <v>1096.056</v>
      </c>
      <c r="O110" s="6">
        <v>1096.056</v>
      </c>
      <c r="P110" s="6">
        <v>6066</v>
      </c>
      <c r="Q110" s="4" t="s">
        <v>26</v>
      </c>
      <c r="R110" s="4">
        <v>0</v>
      </c>
      <c r="S110" s="4" t="s">
        <v>156</v>
      </c>
      <c r="T110" s="4" t="s">
        <v>308</v>
      </c>
      <c r="U110" s="4">
        <v>0</v>
      </c>
      <c r="V110" s="4">
        <v>24</v>
      </c>
      <c r="W110" s="4">
        <v>26</v>
      </c>
    </row>
    <row r="111" spans="1:23" ht="11.25" customHeight="1" x14ac:dyDescent="0.25">
      <c r="A111" s="4" t="s">
        <v>27</v>
      </c>
      <c r="B111" s="4" t="s">
        <v>22</v>
      </c>
      <c r="C111" s="4" t="s">
        <v>23</v>
      </c>
      <c r="D111" s="4" t="s">
        <v>24</v>
      </c>
      <c r="E111" s="4" t="s">
        <v>24</v>
      </c>
      <c r="F111" s="4" t="s">
        <v>25</v>
      </c>
      <c r="G111" s="4" t="s">
        <v>25</v>
      </c>
      <c r="H111" s="4" t="s">
        <v>25</v>
      </c>
      <c r="I111" s="5">
        <v>44562</v>
      </c>
      <c r="J111" s="6">
        <v>0</v>
      </c>
      <c r="K111" s="6">
        <v>0</v>
      </c>
      <c r="L111" s="6">
        <v>-0.79900000000000004</v>
      </c>
      <c r="M111" s="6">
        <v>-0.79900000000000004</v>
      </c>
      <c r="N111" s="6">
        <v>-0.79900000000000004</v>
      </c>
      <c r="O111" s="6">
        <v>-0.79900000000000004</v>
      </c>
      <c r="P111" s="6">
        <v>0</v>
      </c>
      <c r="Q111" s="4" t="s">
        <v>26</v>
      </c>
      <c r="R111" s="4">
        <v>0</v>
      </c>
      <c r="S111" s="4" t="s">
        <v>156</v>
      </c>
      <c r="T111" s="4" t="s">
        <v>308</v>
      </c>
      <c r="U111" s="4">
        <v>0</v>
      </c>
      <c r="V111" s="4">
        <v>24</v>
      </c>
      <c r="W111" s="4">
        <v>26</v>
      </c>
    </row>
    <row r="112" spans="1:23" ht="11.25" customHeight="1" x14ac:dyDescent="0.25">
      <c r="A112" s="4" t="s">
        <v>28</v>
      </c>
      <c r="B112" s="4" t="s">
        <v>22</v>
      </c>
      <c r="C112" s="4" t="s">
        <v>23</v>
      </c>
      <c r="D112" s="4" t="s">
        <v>24</v>
      </c>
      <c r="E112" s="4" t="s">
        <v>24</v>
      </c>
      <c r="F112" s="4" t="s">
        <v>25</v>
      </c>
      <c r="G112" s="4" t="s">
        <v>25</v>
      </c>
      <c r="H112" s="4" t="s">
        <v>25</v>
      </c>
      <c r="I112" s="5">
        <v>44562</v>
      </c>
      <c r="J112" s="6">
        <v>0</v>
      </c>
      <c r="K112" s="6">
        <v>0</v>
      </c>
      <c r="L112" s="6">
        <v>1.014</v>
      </c>
      <c r="M112" s="6">
        <v>1.014</v>
      </c>
      <c r="N112" s="6">
        <v>1.014</v>
      </c>
      <c r="O112" s="6">
        <v>1.014</v>
      </c>
      <c r="P112" s="6">
        <v>15</v>
      </c>
      <c r="Q112" s="4" t="s">
        <v>26</v>
      </c>
      <c r="R112" s="4">
        <v>0</v>
      </c>
      <c r="S112" s="4" t="s">
        <v>156</v>
      </c>
      <c r="T112" s="4" t="s">
        <v>308</v>
      </c>
      <c r="U112" s="4">
        <v>0</v>
      </c>
      <c r="V112" s="4">
        <v>24</v>
      </c>
      <c r="W112" s="4">
        <v>26</v>
      </c>
    </row>
    <row r="113" spans="1:23" ht="11.25" customHeight="1" x14ac:dyDescent="0.25">
      <c r="A113" s="4" t="s">
        <v>21</v>
      </c>
      <c r="B113" s="4" t="s">
        <v>22</v>
      </c>
      <c r="C113" s="4" t="s">
        <v>23</v>
      </c>
      <c r="D113" s="4" t="s">
        <v>24</v>
      </c>
      <c r="E113" s="4" t="s">
        <v>24</v>
      </c>
      <c r="F113" s="4" t="s">
        <v>25</v>
      </c>
      <c r="G113" s="4" t="s">
        <v>25</v>
      </c>
      <c r="H113" s="4" t="s">
        <v>25</v>
      </c>
      <c r="I113" s="5">
        <v>44593</v>
      </c>
      <c r="J113" s="6">
        <v>0</v>
      </c>
      <c r="K113" s="6">
        <v>0</v>
      </c>
      <c r="L113" s="6">
        <v>990.07399999999996</v>
      </c>
      <c r="M113" s="6">
        <v>990.07399999999996</v>
      </c>
      <c r="N113" s="6">
        <v>990.07399999999996</v>
      </c>
      <c r="O113" s="6">
        <v>990.07399999999996</v>
      </c>
      <c r="P113" s="6">
        <v>5995</v>
      </c>
      <c r="Q113" s="4" t="s">
        <v>26</v>
      </c>
      <c r="R113" s="4">
        <v>0</v>
      </c>
      <c r="S113" s="4" t="s">
        <v>157</v>
      </c>
      <c r="T113" s="4" t="s">
        <v>309</v>
      </c>
      <c r="U113" s="4">
        <v>0</v>
      </c>
      <c r="V113" s="4">
        <v>24</v>
      </c>
      <c r="W113" s="4">
        <v>26</v>
      </c>
    </row>
    <row r="114" spans="1:23" ht="11.25" customHeight="1" x14ac:dyDescent="0.25">
      <c r="A114" s="4" t="s">
        <v>27</v>
      </c>
      <c r="B114" s="4" t="s">
        <v>22</v>
      </c>
      <c r="C114" s="4" t="s">
        <v>23</v>
      </c>
      <c r="D114" s="4" t="s">
        <v>24</v>
      </c>
      <c r="E114" s="4" t="s">
        <v>24</v>
      </c>
      <c r="F114" s="4" t="s">
        <v>25</v>
      </c>
      <c r="G114" s="4" t="s">
        <v>25</v>
      </c>
      <c r="H114" s="4" t="s">
        <v>25</v>
      </c>
      <c r="I114" s="5">
        <v>44593</v>
      </c>
      <c r="J114" s="6">
        <v>0</v>
      </c>
      <c r="K114" s="6">
        <v>0</v>
      </c>
      <c r="L114" s="6">
        <v>-0.109</v>
      </c>
      <c r="M114" s="6">
        <v>-0.109</v>
      </c>
      <c r="N114" s="6">
        <v>-0.109</v>
      </c>
      <c r="O114" s="6">
        <v>-0.109</v>
      </c>
      <c r="P114" s="6">
        <v>0</v>
      </c>
      <c r="Q114" s="4" t="s">
        <v>26</v>
      </c>
      <c r="R114" s="4">
        <v>0</v>
      </c>
      <c r="S114" s="4" t="s">
        <v>157</v>
      </c>
      <c r="T114" s="4" t="s">
        <v>309</v>
      </c>
      <c r="U114" s="4">
        <v>0</v>
      </c>
      <c r="V114" s="4">
        <v>24</v>
      </c>
      <c r="W114" s="4">
        <v>26</v>
      </c>
    </row>
    <row r="115" spans="1:23" ht="11.25" customHeight="1" x14ac:dyDescent="0.25">
      <c r="A115" s="4" t="s">
        <v>28</v>
      </c>
      <c r="B115" s="4" t="s">
        <v>22</v>
      </c>
      <c r="C115" s="4" t="s">
        <v>23</v>
      </c>
      <c r="D115" s="4" t="s">
        <v>24</v>
      </c>
      <c r="E115" s="4" t="s">
        <v>24</v>
      </c>
      <c r="F115" s="4" t="s">
        <v>25</v>
      </c>
      <c r="G115" s="4" t="s">
        <v>25</v>
      </c>
      <c r="H115" s="4" t="s">
        <v>25</v>
      </c>
      <c r="I115" s="5">
        <v>44593</v>
      </c>
      <c r="J115" s="6">
        <v>0</v>
      </c>
      <c r="K115" s="6">
        <v>0</v>
      </c>
      <c r="L115" s="6">
        <v>1.32</v>
      </c>
      <c r="M115" s="6">
        <v>1.32</v>
      </c>
      <c r="N115" s="6">
        <v>1.32</v>
      </c>
      <c r="O115" s="6">
        <v>1.32</v>
      </c>
      <c r="P115" s="6">
        <v>17</v>
      </c>
      <c r="Q115" s="4" t="s">
        <v>26</v>
      </c>
      <c r="R115" s="4">
        <v>0</v>
      </c>
      <c r="S115" s="4" t="s">
        <v>157</v>
      </c>
      <c r="T115" s="4" t="s">
        <v>309</v>
      </c>
      <c r="U115" s="4">
        <v>0</v>
      </c>
      <c r="V115" s="4">
        <v>24</v>
      </c>
      <c r="W115" s="4">
        <v>26</v>
      </c>
    </row>
    <row r="116" spans="1:23" ht="11.25" customHeight="1" x14ac:dyDescent="0.25">
      <c r="A116" s="4" t="s">
        <v>21</v>
      </c>
      <c r="B116" s="4" t="s">
        <v>22</v>
      </c>
      <c r="C116" s="4" t="s">
        <v>23</v>
      </c>
      <c r="D116" s="4" t="s">
        <v>24</v>
      </c>
      <c r="E116" s="4" t="s">
        <v>24</v>
      </c>
      <c r="F116" s="4" t="s">
        <v>25</v>
      </c>
      <c r="G116" s="4" t="s">
        <v>25</v>
      </c>
      <c r="H116" s="4" t="s">
        <v>25</v>
      </c>
      <c r="I116" s="5">
        <v>44621</v>
      </c>
      <c r="J116" s="6">
        <v>0</v>
      </c>
      <c r="K116" s="6">
        <v>0</v>
      </c>
      <c r="L116" s="6">
        <v>918.66</v>
      </c>
      <c r="M116" s="6">
        <v>918.66</v>
      </c>
      <c r="N116" s="6">
        <v>918.66</v>
      </c>
      <c r="O116" s="6">
        <v>918.66</v>
      </c>
      <c r="P116" s="6">
        <v>5776</v>
      </c>
      <c r="Q116" s="4" t="s">
        <v>26</v>
      </c>
      <c r="R116" s="4">
        <v>0</v>
      </c>
      <c r="S116" s="4" t="s">
        <v>158</v>
      </c>
      <c r="T116" s="4" t="s">
        <v>310</v>
      </c>
      <c r="U116" s="4">
        <v>0</v>
      </c>
      <c r="V116" s="4">
        <v>24</v>
      </c>
      <c r="W116" s="4">
        <v>26</v>
      </c>
    </row>
    <row r="117" spans="1:23" ht="11.25" customHeight="1" x14ac:dyDescent="0.25">
      <c r="A117" s="4" t="s">
        <v>27</v>
      </c>
      <c r="B117" s="4" t="s">
        <v>22</v>
      </c>
      <c r="C117" s="4" t="s">
        <v>23</v>
      </c>
      <c r="D117" s="4" t="s">
        <v>24</v>
      </c>
      <c r="E117" s="4" t="s">
        <v>24</v>
      </c>
      <c r="F117" s="4" t="s">
        <v>25</v>
      </c>
      <c r="G117" s="4" t="s">
        <v>25</v>
      </c>
      <c r="H117" s="4" t="s">
        <v>25</v>
      </c>
      <c r="I117" s="5">
        <v>44621</v>
      </c>
      <c r="J117" s="6">
        <v>0</v>
      </c>
      <c r="K117" s="6">
        <v>0</v>
      </c>
      <c r="L117" s="6">
        <v>-0.158</v>
      </c>
      <c r="M117" s="6">
        <v>-0.158</v>
      </c>
      <c r="N117" s="6">
        <v>-0.158</v>
      </c>
      <c r="O117" s="6">
        <v>-0.158</v>
      </c>
      <c r="P117" s="6">
        <v>0</v>
      </c>
      <c r="Q117" s="4" t="s">
        <v>26</v>
      </c>
      <c r="R117" s="4">
        <v>0</v>
      </c>
      <c r="S117" s="4" t="s">
        <v>158</v>
      </c>
      <c r="T117" s="4" t="s">
        <v>310</v>
      </c>
      <c r="U117" s="4">
        <v>0</v>
      </c>
      <c r="V117" s="4">
        <v>24</v>
      </c>
      <c r="W117" s="4">
        <v>26</v>
      </c>
    </row>
    <row r="118" spans="1:23" ht="11.25" customHeight="1" x14ac:dyDescent="0.25">
      <c r="A118" s="4" t="s">
        <v>28</v>
      </c>
      <c r="B118" s="4" t="s">
        <v>22</v>
      </c>
      <c r="C118" s="4" t="s">
        <v>23</v>
      </c>
      <c r="D118" s="4" t="s">
        <v>24</v>
      </c>
      <c r="E118" s="4" t="s">
        <v>24</v>
      </c>
      <c r="F118" s="4" t="s">
        <v>25</v>
      </c>
      <c r="G118" s="4" t="s">
        <v>25</v>
      </c>
      <c r="H118" s="4" t="s">
        <v>25</v>
      </c>
      <c r="I118" s="5">
        <v>44621</v>
      </c>
      <c r="J118" s="6">
        <v>0</v>
      </c>
      <c r="K118" s="6">
        <v>0</v>
      </c>
      <c r="L118" s="6">
        <v>1.3049999999999999</v>
      </c>
      <c r="M118" s="6">
        <v>1.3049999999999999</v>
      </c>
      <c r="N118" s="6">
        <v>1.3049999999999999</v>
      </c>
      <c r="O118" s="6">
        <v>1.3049999999999999</v>
      </c>
      <c r="P118" s="6">
        <v>18</v>
      </c>
      <c r="Q118" s="4" t="s">
        <v>26</v>
      </c>
      <c r="R118" s="4">
        <v>0</v>
      </c>
      <c r="S118" s="4" t="s">
        <v>158</v>
      </c>
      <c r="T118" s="4" t="s">
        <v>310</v>
      </c>
      <c r="U118" s="4">
        <v>0</v>
      </c>
      <c r="V118" s="4">
        <v>24</v>
      </c>
      <c r="W118" s="4">
        <v>26</v>
      </c>
    </row>
    <row r="119" spans="1:23" ht="11.25" customHeight="1" x14ac:dyDescent="0.25">
      <c r="A119" s="4" t="s">
        <v>21</v>
      </c>
      <c r="B119" s="4" t="s">
        <v>22</v>
      </c>
      <c r="C119" s="4" t="s">
        <v>23</v>
      </c>
      <c r="D119" s="4" t="s">
        <v>24</v>
      </c>
      <c r="E119" s="4" t="s">
        <v>24</v>
      </c>
      <c r="F119" s="4" t="s">
        <v>25</v>
      </c>
      <c r="G119" s="4" t="s">
        <v>25</v>
      </c>
      <c r="H119" s="4" t="s">
        <v>25</v>
      </c>
      <c r="I119" s="5">
        <v>44652</v>
      </c>
      <c r="J119" s="6">
        <v>0</v>
      </c>
      <c r="K119" s="6">
        <v>0</v>
      </c>
      <c r="L119" s="6">
        <v>942.64200000000005</v>
      </c>
      <c r="M119" s="6">
        <v>942.64200000000005</v>
      </c>
      <c r="N119" s="6">
        <v>942.64200000000005</v>
      </c>
      <c r="O119" s="6">
        <v>942.64200000000005</v>
      </c>
      <c r="P119" s="6">
        <v>5603</v>
      </c>
      <c r="Q119" s="4" t="s">
        <v>26</v>
      </c>
      <c r="R119" s="4">
        <v>0</v>
      </c>
      <c r="S119" s="4" t="s">
        <v>159</v>
      </c>
      <c r="T119" s="4" t="s">
        <v>311</v>
      </c>
      <c r="U119" s="4">
        <v>0</v>
      </c>
      <c r="V119" s="4">
        <v>24</v>
      </c>
      <c r="W119" s="4">
        <v>26</v>
      </c>
    </row>
    <row r="120" spans="1:23" ht="11.25" customHeight="1" x14ac:dyDescent="0.25">
      <c r="A120" s="4" t="s">
        <v>27</v>
      </c>
      <c r="B120" s="4" t="s">
        <v>22</v>
      </c>
      <c r="C120" s="4" t="s">
        <v>23</v>
      </c>
      <c r="D120" s="4" t="s">
        <v>24</v>
      </c>
      <c r="E120" s="4" t="s">
        <v>24</v>
      </c>
      <c r="F120" s="4" t="s">
        <v>25</v>
      </c>
      <c r="G120" s="4" t="s">
        <v>25</v>
      </c>
      <c r="H120" s="4" t="s">
        <v>25</v>
      </c>
      <c r="I120" s="5">
        <v>44652</v>
      </c>
      <c r="J120" s="6">
        <v>0</v>
      </c>
      <c r="K120" s="6">
        <v>0</v>
      </c>
      <c r="L120" s="6">
        <v>-0.222</v>
      </c>
      <c r="M120" s="6">
        <v>-0.222</v>
      </c>
      <c r="N120" s="6">
        <v>-0.222</v>
      </c>
      <c r="O120" s="6">
        <v>-0.222</v>
      </c>
      <c r="P120" s="6">
        <v>0</v>
      </c>
      <c r="Q120" s="4" t="s">
        <v>26</v>
      </c>
      <c r="R120" s="4">
        <v>0</v>
      </c>
      <c r="S120" s="4" t="s">
        <v>159</v>
      </c>
      <c r="T120" s="4" t="s">
        <v>311</v>
      </c>
      <c r="U120" s="4">
        <v>0</v>
      </c>
      <c r="V120" s="4">
        <v>24</v>
      </c>
      <c r="W120" s="4">
        <v>26</v>
      </c>
    </row>
    <row r="121" spans="1:23" ht="11.25" customHeight="1" x14ac:dyDescent="0.25">
      <c r="A121" s="4" t="s">
        <v>28</v>
      </c>
      <c r="B121" s="4" t="s">
        <v>22</v>
      </c>
      <c r="C121" s="4" t="s">
        <v>23</v>
      </c>
      <c r="D121" s="4" t="s">
        <v>24</v>
      </c>
      <c r="E121" s="4" t="s">
        <v>24</v>
      </c>
      <c r="F121" s="4" t="s">
        <v>25</v>
      </c>
      <c r="G121" s="4" t="s">
        <v>25</v>
      </c>
      <c r="H121" s="4" t="s">
        <v>25</v>
      </c>
      <c r="I121" s="5">
        <v>44652</v>
      </c>
      <c r="J121" s="6">
        <v>0</v>
      </c>
      <c r="K121" s="6">
        <v>0</v>
      </c>
      <c r="L121" s="6">
        <v>1.571</v>
      </c>
      <c r="M121" s="6">
        <v>1.571</v>
      </c>
      <c r="N121" s="6">
        <v>1.571</v>
      </c>
      <c r="O121" s="6">
        <v>1.571</v>
      </c>
      <c r="P121" s="6">
        <v>18</v>
      </c>
      <c r="Q121" s="4" t="s">
        <v>26</v>
      </c>
      <c r="R121" s="4">
        <v>0</v>
      </c>
      <c r="S121" s="4" t="s">
        <v>159</v>
      </c>
      <c r="T121" s="4" t="s">
        <v>311</v>
      </c>
      <c r="U121" s="4">
        <v>0</v>
      </c>
      <c r="V121" s="4">
        <v>24</v>
      </c>
      <c r="W121" s="4">
        <v>26</v>
      </c>
    </row>
    <row r="122" spans="1:23" ht="11.25" customHeight="1" x14ac:dyDescent="0.25">
      <c r="A122" s="4" t="s">
        <v>21</v>
      </c>
      <c r="B122" s="4" t="s">
        <v>22</v>
      </c>
      <c r="C122" s="4" t="s">
        <v>23</v>
      </c>
      <c r="D122" s="4" t="s">
        <v>24</v>
      </c>
      <c r="E122" s="4" t="s">
        <v>24</v>
      </c>
      <c r="F122" s="4" t="s">
        <v>25</v>
      </c>
      <c r="G122" s="4" t="s">
        <v>25</v>
      </c>
      <c r="H122" s="4" t="s">
        <v>25</v>
      </c>
      <c r="I122" s="5">
        <v>44682</v>
      </c>
      <c r="J122" s="6">
        <v>0</v>
      </c>
      <c r="K122" s="6">
        <v>0</v>
      </c>
      <c r="L122" s="6">
        <v>863.79399999999998</v>
      </c>
      <c r="M122" s="6">
        <v>863.79399999999998</v>
      </c>
      <c r="N122" s="6">
        <v>863.79399999999998</v>
      </c>
      <c r="O122" s="6">
        <v>863.79399999999998</v>
      </c>
      <c r="P122" s="6">
        <v>5564</v>
      </c>
      <c r="Q122" s="4" t="s">
        <v>26</v>
      </c>
      <c r="R122" s="4">
        <v>0</v>
      </c>
      <c r="S122" s="4" t="s">
        <v>160</v>
      </c>
      <c r="T122" s="4" t="s">
        <v>312</v>
      </c>
      <c r="U122" s="4">
        <v>0</v>
      </c>
      <c r="V122" s="4">
        <v>24</v>
      </c>
      <c r="W122" s="4">
        <v>26</v>
      </c>
    </row>
    <row r="123" spans="1:23" ht="11.25" customHeight="1" x14ac:dyDescent="0.25">
      <c r="A123" s="4" t="s">
        <v>27</v>
      </c>
      <c r="B123" s="4" t="s">
        <v>22</v>
      </c>
      <c r="C123" s="4" t="s">
        <v>23</v>
      </c>
      <c r="D123" s="4" t="s">
        <v>24</v>
      </c>
      <c r="E123" s="4" t="s">
        <v>24</v>
      </c>
      <c r="F123" s="4" t="s">
        <v>25</v>
      </c>
      <c r="G123" s="4" t="s">
        <v>25</v>
      </c>
      <c r="H123" s="4" t="s">
        <v>25</v>
      </c>
      <c r="I123" s="5">
        <v>44682</v>
      </c>
      <c r="J123" s="6">
        <v>0</v>
      </c>
      <c r="K123" s="6">
        <v>0</v>
      </c>
      <c r="L123" s="6">
        <v>2.9000000000000001E-2</v>
      </c>
      <c r="M123" s="6">
        <v>2.9000000000000001E-2</v>
      </c>
      <c r="N123" s="6">
        <v>2.9000000000000001E-2</v>
      </c>
      <c r="O123" s="6">
        <v>2.9000000000000001E-2</v>
      </c>
      <c r="P123" s="6">
        <v>0</v>
      </c>
      <c r="Q123" s="4" t="s">
        <v>26</v>
      </c>
      <c r="R123" s="4">
        <v>0</v>
      </c>
      <c r="S123" s="4" t="s">
        <v>160</v>
      </c>
      <c r="T123" s="4" t="s">
        <v>312</v>
      </c>
      <c r="U123" s="4">
        <v>0</v>
      </c>
      <c r="V123" s="4">
        <v>24</v>
      </c>
      <c r="W123" s="4">
        <v>26</v>
      </c>
    </row>
    <row r="124" spans="1:23" ht="11.25" customHeight="1" x14ac:dyDescent="0.25">
      <c r="A124" s="4" t="s">
        <v>28</v>
      </c>
      <c r="B124" s="4" t="s">
        <v>22</v>
      </c>
      <c r="C124" s="4" t="s">
        <v>23</v>
      </c>
      <c r="D124" s="4" t="s">
        <v>24</v>
      </c>
      <c r="E124" s="4" t="s">
        <v>24</v>
      </c>
      <c r="F124" s="4" t="s">
        <v>25</v>
      </c>
      <c r="G124" s="4" t="s">
        <v>25</v>
      </c>
      <c r="H124" s="4" t="s">
        <v>25</v>
      </c>
      <c r="I124" s="5">
        <v>44682</v>
      </c>
      <c r="J124" s="6">
        <v>0</v>
      </c>
      <c r="K124" s="6">
        <v>0</v>
      </c>
      <c r="L124" s="6">
        <v>2.11</v>
      </c>
      <c r="M124" s="6">
        <v>2.11</v>
      </c>
      <c r="N124" s="6">
        <v>2.11</v>
      </c>
      <c r="O124" s="6">
        <v>2.11</v>
      </c>
      <c r="P124" s="6">
        <v>20</v>
      </c>
      <c r="Q124" s="4" t="s">
        <v>26</v>
      </c>
      <c r="R124" s="4">
        <v>0</v>
      </c>
      <c r="S124" s="4" t="s">
        <v>160</v>
      </c>
      <c r="T124" s="4" t="s">
        <v>312</v>
      </c>
      <c r="U124" s="4">
        <v>0</v>
      </c>
      <c r="V124" s="4">
        <v>24</v>
      </c>
      <c r="W124" s="4">
        <v>26</v>
      </c>
    </row>
    <row r="125" spans="1:23" ht="11.25" customHeight="1" x14ac:dyDescent="0.25">
      <c r="A125" s="4" t="s">
        <v>21</v>
      </c>
      <c r="B125" s="4" t="s">
        <v>22</v>
      </c>
      <c r="C125" s="4" t="s">
        <v>23</v>
      </c>
      <c r="D125" s="4" t="s">
        <v>24</v>
      </c>
      <c r="E125" s="4" t="s">
        <v>24</v>
      </c>
      <c r="F125" s="4" t="s">
        <v>25</v>
      </c>
      <c r="G125" s="4" t="s">
        <v>25</v>
      </c>
      <c r="H125" s="4" t="s">
        <v>25</v>
      </c>
      <c r="I125" s="5">
        <v>44713</v>
      </c>
      <c r="J125" s="6">
        <v>0</v>
      </c>
      <c r="K125" s="6">
        <v>0</v>
      </c>
      <c r="L125" s="6">
        <v>920.95500000000004</v>
      </c>
      <c r="M125" s="6">
        <v>920.95500000000004</v>
      </c>
      <c r="N125" s="6">
        <v>920.95500000000004</v>
      </c>
      <c r="O125" s="6">
        <v>920.95500000000004</v>
      </c>
      <c r="P125" s="6">
        <v>5563</v>
      </c>
      <c r="Q125" s="4" t="s">
        <v>26</v>
      </c>
      <c r="R125" s="4">
        <v>0</v>
      </c>
      <c r="S125" s="4" t="s">
        <v>161</v>
      </c>
      <c r="T125" s="4" t="s">
        <v>313</v>
      </c>
      <c r="U125" s="4">
        <v>0</v>
      </c>
      <c r="V125" s="4">
        <v>24</v>
      </c>
      <c r="W125" s="4">
        <v>26</v>
      </c>
    </row>
    <row r="126" spans="1:23" ht="11.25" customHeight="1" x14ac:dyDescent="0.25">
      <c r="A126" s="4" t="s">
        <v>28</v>
      </c>
      <c r="B126" s="4" t="s">
        <v>22</v>
      </c>
      <c r="C126" s="4" t="s">
        <v>23</v>
      </c>
      <c r="D126" s="4" t="s">
        <v>24</v>
      </c>
      <c r="E126" s="4" t="s">
        <v>24</v>
      </c>
      <c r="F126" s="4" t="s">
        <v>25</v>
      </c>
      <c r="G126" s="4" t="s">
        <v>25</v>
      </c>
      <c r="H126" s="4" t="s">
        <v>25</v>
      </c>
      <c r="I126" s="5">
        <v>44713</v>
      </c>
      <c r="J126" s="6">
        <v>0</v>
      </c>
      <c r="K126" s="6">
        <v>0</v>
      </c>
      <c r="L126" s="6">
        <v>2.2930000000000001</v>
      </c>
      <c r="M126" s="6">
        <v>2.2930000000000001</v>
      </c>
      <c r="N126" s="6">
        <v>2.2930000000000001</v>
      </c>
      <c r="O126" s="6">
        <v>2.2930000000000001</v>
      </c>
      <c r="P126" s="6">
        <v>20</v>
      </c>
      <c r="Q126" s="4" t="s">
        <v>26</v>
      </c>
      <c r="R126" s="4">
        <v>0</v>
      </c>
      <c r="S126" s="4" t="s">
        <v>161</v>
      </c>
      <c r="T126" s="4" t="s">
        <v>313</v>
      </c>
      <c r="U126" s="4">
        <v>0</v>
      </c>
      <c r="V126" s="4">
        <v>24</v>
      </c>
      <c r="W126" s="4">
        <v>26</v>
      </c>
    </row>
    <row r="127" spans="1:23" ht="11.25" customHeight="1" x14ac:dyDescent="0.25">
      <c r="A127" s="4" t="s">
        <v>21</v>
      </c>
      <c r="B127" s="4" t="s">
        <v>22</v>
      </c>
      <c r="C127" s="4" t="s">
        <v>23</v>
      </c>
      <c r="D127" s="4" t="s">
        <v>24</v>
      </c>
      <c r="E127" s="4" t="s">
        <v>29</v>
      </c>
      <c r="F127" s="4" t="s">
        <v>25</v>
      </c>
      <c r="G127" s="4" t="s">
        <v>25</v>
      </c>
      <c r="H127" s="4" t="s">
        <v>25</v>
      </c>
      <c r="I127" s="5">
        <v>44378</v>
      </c>
      <c r="J127" s="6">
        <v>0</v>
      </c>
      <c r="K127" s="6">
        <v>0</v>
      </c>
      <c r="L127" s="6">
        <v>3.75</v>
      </c>
      <c r="M127" s="6">
        <v>3.75</v>
      </c>
      <c r="N127" s="6">
        <v>3.75</v>
      </c>
      <c r="O127" s="6">
        <v>3.75</v>
      </c>
      <c r="P127" s="6">
        <v>3</v>
      </c>
      <c r="Q127" s="4" t="s">
        <v>26</v>
      </c>
      <c r="R127" s="4">
        <v>0</v>
      </c>
      <c r="S127" s="4" t="s">
        <v>162</v>
      </c>
      <c r="T127" s="4" t="s">
        <v>314</v>
      </c>
      <c r="U127" s="4">
        <v>0</v>
      </c>
      <c r="V127" s="4">
        <v>2</v>
      </c>
      <c r="W127" s="4">
        <v>72</v>
      </c>
    </row>
    <row r="128" spans="1:23" ht="11.25" customHeight="1" x14ac:dyDescent="0.25">
      <c r="A128" s="4" t="s">
        <v>21</v>
      </c>
      <c r="B128" s="4" t="s">
        <v>22</v>
      </c>
      <c r="C128" s="4" t="s">
        <v>23</v>
      </c>
      <c r="D128" s="4" t="s">
        <v>24</v>
      </c>
      <c r="E128" s="4" t="s">
        <v>29</v>
      </c>
      <c r="F128" s="4" t="s">
        <v>25</v>
      </c>
      <c r="G128" s="4" t="s">
        <v>25</v>
      </c>
      <c r="H128" s="4" t="s">
        <v>25</v>
      </c>
      <c r="I128" s="5">
        <v>44409</v>
      </c>
      <c r="J128" s="6">
        <v>0</v>
      </c>
      <c r="K128" s="6">
        <v>0</v>
      </c>
      <c r="L128" s="6">
        <v>3.9</v>
      </c>
      <c r="M128" s="6">
        <v>3.9</v>
      </c>
      <c r="N128" s="6">
        <v>3.9</v>
      </c>
      <c r="O128" s="6">
        <v>3.9</v>
      </c>
      <c r="P128" s="6">
        <v>1</v>
      </c>
      <c r="Q128" s="4" t="s">
        <v>26</v>
      </c>
      <c r="R128" s="4">
        <v>0</v>
      </c>
      <c r="S128" s="4" t="s">
        <v>163</v>
      </c>
      <c r="T128" s="4" t="s">
        <v>315</v>
      </c>
      <c r="U128" s="4">
        <v>0</v>
      </c>
      <c r="V128" s="4">
        <v>2</v>
      </c>
      <c r="W128" s="4">
        <v>72</v>
      </c>
    </row>
    <row r="129" spans="1:23" ht="11.25" customHeight="1" x14ac:dyDescent="0.25">
      <c r="A129" s="4" t="s">
        <v>21</v>
      </c>
      <c r="B129" s="4" t="s">
        <v>22</v>
      </c>
      <c r="C129" s="4" t="s">
        <v>23</v>
      </c>
      <c r="D129" s="4" t="s">
        <v>24</v>
      </c>
      <c r="E129" s="4" t="s">
        <v>29</v>
      </c>
      <c r="F129" s="4" t="s">
        <v>25</v>
      </c>
      <c r="G129" s="4" t="s">
        <v>25</v>
      </c>
      <c r="H129" s="4" t="s">
        <v>25</v>
      </c>
      <c r="I129" s="5">
        <v>44440</v>
      </c>
      <c r="J129" s="6">
        <v>0</v>
      </c>
      <c r="K129" s="6">
        <v>0</v>
      </c>
      <c r="L129" s="6">
        <v>3.78</v>
      </c>
      <c r="M129" s="6">
        <v>3.78</v>
      </c>
      <c r="N129" s="6">
        <v>3.78</v>
      </c>
      <c r="O129" s="6">
        <v>3.78</v>
      </c>
      <c r="P129" s="6">
        <v>0</v>
      </c>
      <c r="Q129" s="4" t="s">
        <v>26</v>
      </c>
      <c r="R129" s="4">
        <v>0</v>
      </c>
      <c r="S129" s="4" t="s">
        <v>164</v>
      </c>
      <c r="T129" s="4" t="s">
        <v>316</v>
      </c>
      <c r="U129" s="4">
        <v>0</v>
      </c>
      <c r="V129" s="4">
        <v>2</v>
      </c>
      <c r="W129" s="4">
        <v>72</v>
      </c>
    </row>
    <row r="130" spans="1:23" ht="11.25" customHeight="1" x14ac:dyDescent="0.25">
      <c r="A130" s="4" t="s">
        <v>21</v>
      </c>
      <c r="B130" s="4" t="s">
        <v>22</v>
      </c>
      <c r="C130" s="4" t="s">
        <v>23</v>
      </c>
      <c r="D130" s="4" t="s">
        <v>24</v>
      </c>
      <c r="E130" s="4" t="s">
        <v>29</v>
      </c>
      <c r="F130" s="4" t="s">
        <v>25</v>
      </c>
      <c r="G130" s="4" t="s">
        <v>25</v>
      </c>
      <c r="H130" s="4" t="s">
        <v>25</v>
      </c>
      <c r="I130" s="5">
        <v>44470</v>
      </c>
      <c r="J130" s="6">
        <v>0</v>
      </c>
      <c r="K130" s="6">
        <v>0</v>
      </c>
      <c r="L130" s="6">
        <v>4.0199999999999996</v>
      </c>
      <c r="M130" s="6">
        <v>4.0199999999999996</v>
      </c>
      <c r="N130" s="6">
        <v>4.0199999999999996</v>
      </c>
      <c r="O130" s="6">
        <v>4.0199999999999996</v>
      </c>
      <c r="P130" s="6">
        <v>3</v>
      </c>
      <c r="Q130" s="4" t="s">
        <v>26</v>
      </c>
      <c r="R130" s="4">
        <v>0</v>
      </c>
      <c r="S130" s="4" t="s">
        <v>165</v>
      </c>
      <c r="T130" s="4" t="s">
        <v>317</v>
      </c>
      <c r="U130" s="4">
        <v>0</v>
      </c>
      <c r="V130" s="4">
        <v>2</v>
      </c>
      <c r="W130" s="4">
        <v>72</v>
      </c>
    </row>
    <row r="131" spans="1:23" ht="11.25" customHeight="1" x14ac:dyDescent="0.25">
      <c r="A131" s="4" t="s">
        <v>21</v>
      </c>
      <c r="B131" s="4" t="s">
        <v>22</v>
      </c>
      <c r="C131" s="4" t="s">
        <v>23</v>
      </c>
      <c r="D131" s="4" t="s">
        <v>24</v>
      </c>
      <c r="E131" s="4" t="s">
        <v>29</v>
      </c>
      <c r="F131" s="4" t="s">
        <v>25</v>
      </c>
      <c r="G131" s="4" t="s">
        <v>25</v>
      </c>
      <c r="H131" s="4" t="s">
        <v>25</v>
      </c>
      <c r="I131" s="5">
        <v>44501</v>
      </c>
      <c r="J131" s="6">
        <v>0</v>
      </c>
      <c r="K131" s="6">
        <v>0</v>
      </c>
      <c r="L131" s="6">
        <v>4.41</v>
      </c>
      <c r="M131" s="6">
        <v>4.41</v>
      </c>
      <c r="N131" s="6">
        <v>4.41</v>
      </c>
      <c r="O131" s="6">
        <v>4.41</v>
      </c>
      <c r="P131" s="6">
        <v>2</v>
      </c>
      <c r="Q131" s="4" t="s">
        <v>26</v>
      </c>
      <c r="R131" s="4">
        <v>0</v>
      </c>
      <c r="S131" s="4" t="s">
        <v>166</v>
      </c>
      <c r="T131" s="4" t="s">
        <v>318</v>
      </c>
      <c r="U131" s="4">
        <v>0</v>
      </c>
      <c r="V131" s="4">
        <v>2</v>
      </c>
      <c r="W131" s="4">
        <v>72</v>
      </c>
    </row>
    <row r="132" spans="1:23" ht="11.25" customHeight="1" x14ac:dyDescent="0.25">
      <c r="A132" s="4" t="s">
        <v>21</v>
      </c>
      <c r="B132" s="4" t="s">
        <v>22</v>
      </c>
      <c r="C132" s="4" t="s">
        <v>23</v>
      </c>
      <c r="D132" s="4" t="s">
        <v>24</v>
      </c>
      <c r="E132" s="4" t="s">
        <v>29</v>
      </c>
      <c r="F132" s="4" t="s">
        <v>25</v>
      </c>
      <c r="G132" s="4" t="s">
        <v>25</v>
      </c>
      <c r="H132" s="4" t="s">
        <v>25</v>
      </c>
      <c r="I132" s="5">
        <v>44531</v>
      </c>
      <c r="J132" s="6">
        <v>0</v>
      </c>
      <c r="K132" s="6">
        <v>0</v>
      </c>
      <c r="L132" s="6">
        <v>4.53</v>
      </c>
      <c r="M132" s="6">
        <v>4.53</v>
      </c>
      <c r="N132" s="6">
        <v>4.53</v>
      </c>
      <c r="O132" s="6">
        <v>4.53</v>
      </c>
      <c r="P132" s="6">
        <v>2</v>
      </c>
      <c r="Q132" s="4" t="s">
        <v>26</v>
      </c>
      <c r="R132" s="4">
        <v>0</v>
      </c>
      <c r="S132" s="4" t="s">
        <v>167</v>
      </c>
      <c r="T132" s="4" t="s">
        <v>319</v>
      </c>
      <c r="U132" s="4">
        <v>0</v>
      </c>
      <c r="V132" s="4">
        <v>2</v>
      </c>
      <c r="W132" s="4">
        <v>72</v>
      </c>
    </row>
    <row r="133" spans="1:23" ht="11.25" customHeight="1" x14ac:dyDescent="0.25">
      <c r="A133" s="4" t="s">
        <v>21</v>
      </c>
      <c r="B133" s="4" t="s">
        <v>22</v>
      </c>
      <c r="C133" s="4" t="s">
        <v>23</v>
      </c>
      <c r="D133" s="4" t="s">
        <v>24</v>
      </c>
      <c r="E133" s="4" t="s">
        <v>29</v>
      </c>
      <c r="F133" s="4" t="s">
        <v>25</v>
      </c>
      <c r="G133" s="4" t="s">
        <v>25</v>
      </c>
      <c r="H133" s="4" t="s">
        <v>25</v>
      </c>
      <c r="I133" s="5">
        <v>44562</v>
      </c>
      <c r="J133" s="6">
        <v>0</v>
      </c>
      <c r="K133" s="6">
        <v>0</v>
      </c>
      <c r="L133" s="6">
        <v>4.68</v>
      </c>
      <c r="M133" s="6">
        <v>4.68</v>
      </c>
      <c r="N133" s="6">
        <v>4.68</v>
      </c>
      <c r="O133" s="6">
        <v>4.68</v>
      </c>
      <c r="P133" s="6">
        <v>0</v>
      </c>
      <c r="Q133" s="4" t="s">
        <v>26</v>
      </c>
      <c r="R133" s="4">
        <v>0</v>
      </c>
      <c r="S133" s="4" t="s">
        <v>168</v>
      </c>
      <c r="T133" s="4" t="s">
        <v>320</v>
      </c>
      <c r="U133" s="4">
        <v>0</v>
      </c>
      <c r="V133" s="4">
        <v>2</v>
      </c>
      <c r="W133" s="4">
        <v>72</v>
      </c>
    </row>
    <row r="134" spans="1:23" ht="11.25" customHeight="1" x14ac:dyDescent="0.25">
      <c r="A134" s="4" t="s">
        <v>21</v>
      </c>
      <c r="B134" s="4" t="s">
        <v>22</v>
      </c>
      <c r="C134" s="4" t="s">
        <v>23</v>
      </c>
      <c r="D134" s="4" t="s">
        <v>24</v>
      </c>
      <c r="E134" s="4" t="s">
        <v>29</v>
      </c>
      <c r="F134" s="4" t="s">
        <v>25</v>
      </c>
      <c r="G134" s="4" t="s">
        <v>25</v>
      </c>
      <c r="H134" s="4" t="s">
        <v>25</v>
      </c>
      <c r="I134" s="5">
        <v>44593</v>
      </c>
      <c r="J134" s="6">
        <v>0</v>
      </c>
      <c r="K134" s="6">
        <v>0</v>
      </c>
      <c r="L134" s="6">
        <v>6.87</v>
      </c>
      <c r="M134" s="6">
        <v>6.87</v>
      </c>
      <c r="N134" s="6">
        <v>6.87</v>
      </c>
      <c r="O134" s="6">
        <v>6.87</v>
      </c>
      <c r="P134" s="6">
        <v>9</v>
      </c>
      <c r="Q134" s="4" t="s">
        <v>26</v>
      </c>
      <c r="R134" s="4">
        <v>0</v>
      </c>
      <c r="S134" s="4" t="s">
        <v>169</v>
      </c>
      <c r="T134" s="4" t="s">
        <v>321</v>
      </c>
      <c r="U134" s="4">
        <v>0</v>
      </c>
      <c r="V134" s="4">
        <v>2</v>
      </c>
      <c r="W134" s="4">
        <v>72</v>
      </c>
    </row>
    <row r="135" spans="1:23" ht="11.25" customHeight="1" x14ac:dyDescent="0.25">
      <c r="A135" s="4" t="s">
        <v>21</v>
      </c>
      <c r="B135" s="4" t="s">
        <v>22</v>
      </c>
      <c r="C135" s="4" t="s">
        <v>23</v>
      </c>
      <c r="D135" s="4" t="s">
        <v>24</v>
      </c>
      <c r="E135" s="4" t="s">
        <v>29</v>
      </c>
      <c r="F135" s="4" t="s">
        <v>25</v>
      </c>
      <c r="G135" s="4" t="s">
        <v>25</v>
      </c>
      <c r="H135" s="4" t="s">
        <v>25</v>
      </c>
      <c r="I135" s="5">
        <v>44621</v>
      </c>
      <c r="J135" s="6">
        <v>0</v>
      </c>
      <c r="K135" s="6">
        <v>0</v>
      </c>
      <c r="L135" s="6">
        <v>13.53</v>
      </c>
      <c r="M135" s="6">
        <v>13.53</v>
      </c>
      <c r="N135" s="6">
        <v>13.53</v>
      </c>
      <c r="O135" s="6">
        <v>13.53</v>
      </c>
      <c r="P135" s="6">
        <v>34</v>
      </c>
      <c r="Q135" s="4" t="s">
        <v>26</v>
      </c>
      <c r="R135" s="4">
        <v>0</v>
      </c>
      <c r="S135" s="4" t="s">
        <v>170</v>
      </c>
      <c r="T135" s="4" t="s">
        <v>322</v>
      </c>
      <c r="U135" s="4">
        <v>0</v>
      </c>
      <c r="V135" s="4">
        <v>2</v>
      </c>
      <c r="W135" s="4">
        <v>72</v>
      </c>
    </row>
    <row r="136" spans="1:23" ht="11.25" customHeight="1" x14ac:dyDescent="0.25">
      <c r="A136" s="4" t="s">
        <v>21</v>
      </c>
      <c r="B136" s="4" t="s">
        <v>22</v>
      </c>
      <c r="C136" s="4" t="s">
        <v>23</v>
      </c>
      <c r="D136" s="4" t="s">
        <v>24</v>
      </c>
      <c r="E136" s="4" t="s">
        <v>29</v>
      </c>
      <c r="F136" s="4" t="s">
        <v>25</v>
      </c>
      <c r="G136" s="4" t="s">
        <v>25</v>
      </c>
      <c r="H136" s="4" t="s">
        <v>25</v>
      </c>
      <c r="I136" s="5">
        <v>44652</v>
      </c>
      <c r="J136" s="6">
        <v>0</v>
      </c>
      <c r="K136" s="6">
        <v>0</v>
      </c>
      <c r="L136" s="6">
        <v>19.29</v>
      </c>
      <c r="M136" s="6">
        <v>19.29</v>
      </c>
      <c r="N136" s="6">
        <v>19.29</v>
      </c>
      <c r="O136" s="6">
        <v>19.29</v>
      </c>
      <c r="P136" s="6">
        <v>56</v>
      </c>
      <c r="Q136" s="4" t="s">
        <v>26</v>
      </c>
      <c r="R136" s="4">
        <v>0</v>
      </c>
      <c r="S136" s="4" t="s">
        <v>171</v>
      </c>
      <c r="T136" s="4" t="s">
        <v>323</v>
      </c>
      <c r="U136" s="4">
        <v>0</v>
      </c>
      <c r="V136" s="4">
        <v>2</v>
      </c>
      <c r="W136" s="4">
        <v>72</v>
      </c>
    </row>
    <row r="137" spans="1:23" ht="11.25" customHeight="1" x14ac:dyDescent="0.25">
      <c r="A137" s="4" t="s">
        <v>21</v>
      </c>
      <c r="B137" s="4" t="s">
        <v>22</v>
      </c>
      <c r="C137" s="4" t="s">
        <v>23</v>
      </c>
      <c r="D137" s="4" t="s">
        <v>24</v>
      </c>
      <c r="E137" s="4" t="s">
        <v>29</v>
      </c>
      <c r="F137" s="4" t="s">
        <v>25</v>
      </c>
      <c r="G137" s="4" t="s">
        <v>25</v>
      </c>
      <c r="H137" s="4" t="s">
        <v>25</v>
      </c>
      <c r="I137" s="5">
        <v>44682</v>
      </c>
      <c r="J137" s="6">
        <v>0</v>
      </c>
      <c r="K137" s="6">
        <v>0</v>
      </c>
      <c r="L137" s="6">
        <v>20.91</v>
      </c>
      <c r="M137" s="6">
        <v>20.91</v>
      </c>
      <c r="N137" s="6">
        <v>20.91</v>
      </c>
      <c r="O137" s="6">
        <v>20.91</v>
      </c>
      <c r="P137" s="6">
        <v>69</v>
      </c>
      <c r="Q137" s="4" t="s">
        <v>26</v>
      </c>
      <c r="R137" s="4">
        <v>0</v>
      </c>
      <c r="S137" s="4" t="s">
        <v>172</v>
      </c>
      <c r="T137" s="4" t="s">
        <v>324</v>
      </c>
      <c r="U137" s="4">
        <v>0</v>
      </c>
      <c r="V137" s="4">
        <v>2</v>
      </c>
      <c r="W137" s="4">
        <v>72</v>
      </c>
    </row>
    <row r="138" spans="1:23" ht="11.25" customHeight="1" x14ac:dyDescent="0.25">
      <c r="A138" s="4" t="s">
        <v>21</v>
      </c>
      <c r="B138" s="4" t="s">
        <v>22</v>
      </c>
      <c r="C138" s="4" t="s">
        <v>23</v>
      </c>
      <c r="D138" s="4" t="s">
        <v>24</v>
      </c>
      <c r="E138" s="4" t="s">
        <v>29</v>
      </c>
      <c r="F138" s="4" t="s">
        <v>25</v>
      </c>
      <c r="G138" s="4" t="s">
        <v>25</v>
      </c>
      <c r="H138" s="4" t="s">
        <v>25</v>
      </c>
      <c r="I138" s="5">
        <v>44713</v>
      </c>
      <c r="J138" s="6">
        <v>0</v>
      </c>
      <c r="K138" s="6">
        <v>0</v>
      </c>
      <c r="L138" s="6">
        <v>21.87</v>
      </c>
      <c r="M138" s="6">
        <v>21.87</v>
      </c>
      <c r="N138" s="6">
        <v>21.87</v>
      </c>
      <c r="O138" s="6">
        <v>21.87</v>
      </c>
      <c r="P138" s="6">
        <v>71</v>
      </c>
      <c r="Q138" s="4" t="s">
        <v>26</v>
      </c>
      <c r="R138" s="4">
        <v>0</v>
      </c>
      <c r="S138" s="4" t="s">
        <v>173</v>
      </c>
      <c r="T138" s="4" t="s">
        <v>325</v>
      </c>
      <c r="U138" s="4">
        <v>0</v>
      </c>
      <c r="V138" s="4">
        <v>2</v>
      </c>
      <c r="W138" s="4">
        <v>72</v>
      </c>
    </row>
    <row r="139" spans="1:23" ht="11.25" customHeight="1" x14ac:dyDescent="0.25">
      <c r="A139" s="4" t="s">
        <v>21</v>
      </c>
      <c r="B139" s="4" t="s">
        <v>22</v>
      </c>
      <c r="C139" s="4" t="s">
        <v>23</v>
      </c>
      <c r="D139" s="4" t="s">
        <v>24</v>
      </c>
      <c r="E139" s="4" t="s">
        <v>30</v>
      </c>
      <c r="F139" s="4" t="s">
        <v>25</v>
      </c>
      <c r="G139" s="4" t="s">
        <v>25</v>
      </c>
      <c r="H139" s="4" t="s">
        <v>25</v>
      </c>
      <c r="I139" s="5">
        <v>44378</v>
      </c>
      <c r="J139" s="6">
        <v>0</v>
      </c>
      <c r="K139" s="6">
        <v>0</v>
      </c>
      <c r="L139" s="6">
        <v>8.2100000000000009</v>
      </c>
      <c r="M139" s="6">
        <v>8.2100000000000009</v>
      </c>
      <c r="N139" s="6">
        <v>8.2100000000000009</v>
      </c>
      <c r="O139" s="6">
        <v>8.2100000000000009</v>
      </c>
      <c r="P139" s="6">
        <v>13</v>
      </c>
      <c r="Q139" s="4" t="s">
        <v>26</v>
      </c>
      <c r="R139" s="4">
        <v>0</v>
      </c>
      <c r="S139" s="4" t="s">
        <v>174</v>
      </c>
      <c r="T139" s="4" t="s">
        <v>326</v>
      </c>
      <c r="U139" s="4">
        <v>0</v>
      </c>
      <c r="V139" s="4">
        <v>13</v>
      </c>
      <c r="W139" s="4">
        <v>69</v>
      </c>
    </row>
    <row r="140" spans="1:23" ht="11.25" customHeight="1" x14ac:dyDescent="0.25">
      <c r="A140" s="4" t="s">
        <v>21</v>
      </c>
      <c r="B140" s="4" t="s">
        <v>22</v>
      </c>
      <c r="C140" s="4" t="s">
        <v>23</v>
      </c>
      <c r="D140" s="4" t="s">
        <v>24</v>
      </c>
      <c r="E140" s="4" t="s">
        <v>30</v>
      </c>
      <c r="F140" s="4" t="s">
        <v>25</v>
      </c>
      <c r="G140" s="4" t="s">
        <v>25</v>
      </c>
      <c r="H140" s="4" t="s">
        <v>25</v>
      </c>
      <c r="I140" s="5">
        <v>44409</v>
      </c>
      <c r="J140" s="6">
        <v>0</v>
      </c>
      <c r="K140" s="6">
        <v>0</v>
      </c>
      <c r="L140" s="6">
        <v>8.6159999999999997</v>
      </c>
      <c r="M140" s="6">
        <v>8.6159999999999997</v>
      </c>
      <c r="N140" s="6">
        <v>8.6159999999999997</v>
      </c>
      <c r="O140" s="6">
        <v>8.6159999999999997</v>
      </c>
      <c r="P140" s="6">
        <v>13</v>
      </c>
      <c r="Q140" s="4" t="s">
        <v>26</v>
      </c>
      <c r="R140" s="4">
        <v>0</v>
      </c>
      <c r="S140" s="4" t="s">
        <v>175</v>
      </c>
      <c r="T140" s="4" t="s">
        <v>327</v>
      </c>
      <c r="U140" s="4">
        <v>0</v>
      </c>
      <c r="V140" s="4">
        <v>13</v>
      </c>
      <c r="W140" s="4">
        <v>69</v>
      </c>
    </row>
    <row r="141" spans="1:23" ht="11.25" customHeight="1" x14ac:dyDescent="0.25">
      <c r="A141" s="4" t="s">
        <v>21</v>
      </c>
      <c r="B141" s="4" t="s">
        <v>22</v>
      </c>
      <c r="C141" s="4" t="s">
        <v>23</v>
      </c>
      <c r="D141" s="4" t="s">
        <v>24</v>
      </c>
      <c r="E141" s="4" t="s">
        <v>30</v>
      </c>
      <c r="F141" s="4" t="s">
        <v>25</v>
      </c>
      <c r="G141" s="4" t="s">
        <v>25</v>
      </c>
      <c r="H141" s="4" t="s">
        <v>25</v>
      </c>
      <c r="I141" s="5">
        <v>44440</v>
      </c>
      <c r="J141" s="6">
        <v>0</v>
      </c>
      <c r="K141" s="6">
        <v>0</v>
      </c>
      <c r="L141" s="6">
        <v>8.3450000000000006</v>
      </c>
      <c r="M141" s="6">
        <v>8.3450000000000006</v>
      </c>
      <c r="N141" s="6">
        <v>8.3450000000000006</v>
      </c>
      <c r="O141" s="6">
        <v>8.3450000000000006</v>
      </c>
      <c r="P141" s="6">
        <v>15</v>
      </c>
      <c r="Q141" s="4" t="s">
        <v>26</v>
      </c>
      <c r="R141" s="4">
        <v>0</v>
      </c>
      <c r="S141" s="4" t="s">
        <v>176</v>
      </c>
      <c r="T141" s="4" t="s">
        <v>328</v>
      </c>
      <c r="U141" s="4">
        <v>0</v>
      </c>
      <c r="V141" s="4">
        <v>13</v>
      </c>
      <c r="W141" s="4">
        <v>69</v>
      </c>
    </row>
    <row r="142" spans="1:23" ht="11.25" customHeight="1" x14ac:dyDescent="0.25">
      <c r="A142" s="4" t="s">
        <v>21</v>
      </c>
      <c r="B142" s="4" t="s">
        <v>22</v>
      </c>
      <c r="C142" s="4" t="s">
        <v>23</v>
      </c>
      <c r="D142" s="4" t="s">
        <v>24</v>
      </c>
      <c r="E142" s="4" t="s">
        <v>30</v>
      </c>
      <c r="F142" s="4" t="s">
        <v>25</v>
      </c>
      <c r="G142" s="4" t="s">
        <v>25</v>
      </c>
      <c r="H142" s="4" t="s">
        <v>25</v>
      </c>
      <c r="I142" s="5">
        <v>44470</v>
      </c>
      <c r="J142" s="6">
        <v>0</v>
      </c>
      <c r="K142" s="6">
        <v>0</v>
      </c>
      <c r="L142" s="6">
        <v>8.9440000000000008</v>
      </c>
      <c r="M142" s="6">
        <v>8.9440000000000008</v>
      </c>
      <c r="N142" s="6">
        <v>8.9440000000000008</v>
      </c>
      <c r="O142" s="6">
        <v>8.9440000000000008</v>
      </c>
      <c r="P142" s="6">
        <v>10</v>
      </c>
      <c r="Q142" s="4" t="s">
        <v>26</v>
      </c>
      <c r="R142" s="4">
        <v>0</v>
      </c>
      <c r="S142" s="4" t="s">
        <v>177</v>
      </c>
      <c r="T142" s="4" t="s">
        <v>329</v>
      </c>
      <c r="U142" s="4">
        <v>0</v>
      </c>
      <c r="V142" s="4">
        <v>13</v>
      </c>
      <c r="W142" s="4">
        <v>69</v>
      </c>
    </row>
    <row r="143" spans="1:23" ht="11.25" customHeight="1" x14ac:dyDescent="0.25">
      <c r="A143" s="4" t="s">
        <v>21</v>
      </c>
      <c r="B143" s="4" t="s">
        <v>22</v>
      </c>
      <c r="C143" s="4" t="s">
        <v>23</v>
      </c>
      <c r="D143" s="4" t="s">
        <v>24</v>
      </c>
      <c r="E143" s="4" t="s">
        <v>30</v>
      </c>
      <c r="F143" s="4" t="s">
        <v>25</v>
      </c>
      <c r="G143" s="4" t="s">
        <v>25</v>
      </c>
      <c r="H143" s="4" t="s">
        <v>25</v>
      </c>
      <c r="I143" s="5">
        <v>44501</v>
      </c>
      <c r="J143" s="6">
        <v>0</v>
      </c>
      <c r="K143" s="6">
        <v>0</v>
      </c>
      <c r="L143" s="6">
        <v>9.7840000000000007</v>
      </c>
      <c r="M143" s="6">
        <v>9.7840000000000007</v>
      </c>
      <c r="N143" s="6">
        <v>9.7840000000000007</v>
      </c>
      <c r="O143" s="6">
        <v>9.7840000000000007</v>
      </c>
      <c r="P143" s="6">
        <v>15</v>
      </c>
      <c r="Q143" s="4" t="s">
        <v>26</v>
      </c>
      <c r="R143" s="4">
        <v>0</v>
      </c>
      <c r="S143" s="4" t="s">
        <v>178</v>
      </c>
      <c r="T143" s="4" t="s">
        <v>330</v>
      </c>
      <c r="U143" s="4">
        <v>0</v>
      </c>
      <c r="V143" s="4">
        <v>13</v>
      </c>
      <c r="W143" s="4">
        <v>69</v>
      </c>
    </row>
    <row r="144" spans="1:23" ht="11.25" customHeight="1" x14ac:dyDescent="0.25">
      <c r="A144" s="4" t="s">
        <v>21</v>
      </c>
      <c r="B144" s="4" t="s">
        <v>22</v>
      </c>
      <c r="C144" s="4" t="s">
        <v>23</v>
      </c>
      <c r="D144" s="4" t="s">
        <v>24</v>
      </c>
      <c r="E144" s="4" t="s">
        <v>30</v>
      </c>
      <c r="F144" s="4" t="s">
        <v>25</v>
      </c>
      <c r="G144" s="4" t="s">
        <v>25</v>
      </c>
      <c r="H144" s="4" t="s">
        <v>25</v>
      </c>
      <c r="I144" s="5">
        <v>44531</v>
      </c>
      <c r="J144" s="6">
        <v>0</v>
      </c>
      <c r="K144" s="6">
        <v>0</v>
      </c>
      <c r="L144" s="6">
        <v>10.077999999999999</v>
      </c>
      <c r="M144" s="6">
        <v>10.077999999999999</v>
      </c>
      <c r="N144" s="6">
        <v>10.077999999999999</v>
      </c>
      <c r="O144" s="6">
        <v>10.077999999999999</v>
      </c>
      <c r="P144" s="6">
        <v>14</v>
      </c>
      <c r="Q144" s="4" t="s">
        <v>26</v>
      </c>
      <c r="R144" s="4">
        <v>0</v>
      </c>
      <c r="S144" s="4" t="s">
        <v>179</v>
      </c>
      <c r="T144" s="4" t="s">
        <v>331</v>
      </c>
      <c r="U144" s="4">
        <v>0</v>
      </c>
      <c r="V144" s="4">
        <v>13</v>
      </c>
      <c r="W144" s="4">
        <v>69</v>
      </c>
    </row>
    <row r="145" spans="1:23" ht="11.25" customHeight="1" x14ac:dyDescent="0.25">
      <c r="A145" s="4" t="s">
        <v>21</v>
      </c>
      <c r="B145" s="4" t="s">
        <v>22</v>
      </c>
      <c r="C145" s="4" t="s">
        <v>23</v>
      </c>
      <c r="D145" s="4" t="s">
        <v>24</v>
      </c>
      <c r="E145" s="4" t="s">
        <v>30</v>
      </c>
      <c r="F145" s="4" t="s">
        <v>25</v>
      </c>
      <c r="G145" s="4" t="s">
        <v>25</v>
      </c>
      <c r="H145" s="4" t="s">
        <v>25</v>
      </c>
      <c r="I145" s="5">
        <v>44562</v>
      </c>
      <c r="J145" s="6">
        <v>0</v>
      </c>
      <c r="K145" s="6">
        <v>0</v>
      </c>
      <c r="L145" s="6">
        <v>10.484999999999999</v>
      </c>
      <c r="M145" s="6">
        <v>10.484999999999999</v>
      </c>
      <c r="N145" s="6">
        <v>10.484999999999999</v>
      </c>
      <c r="O145" s="6">
        <v>10.484999999999999</v>
      </c>
      <c r="P145" s="6">
        <v>19</v>
      </c>
      <c r="Q145" s="4" t="s">
        <v>26</v>
      </c>
      <c r="R145" s="4">
        <v>0</v>
      </c>
      <c r="S145" s="4" t="s">
        <v>180</v>
      </c>
      <c r="T145" s="4" t="s">
        <v>332</v>
      </c>
      <c r="U145" s="4">
        <v>0</v>
      </c>
      <c r="V145" s="4">
        <v>13</v>
      </c>
      <c r="W145" s="4">
        <v>69</v>
      </c>
    </row>
    <row r="146" spans="1:23" ht="11.25" customHeight="1" x14ac:dyDescent="0.25">
      <c r="A146" s="4" t="s">
        <v>21</v>
      </c>
      <c r="B146" s="4" t="s">
        <v>22</v>
      </c>
      <c r="C146" s="4" t="s">
        <v>23</v>
      </c>
      <c r="D146" s="4" t="s">
        <v>24</v>
      </c>
      <c r="E146" s="4" t="s">
        <v>30</v>
      </c>
      <c r="F146" s="4" t="s">
        <v>25</v>
      </c>
      <c r="G146" s="4" t="s">
        <v>25</v>
      </c>
      <c r="H146" s="4" t="s">
        <v>25</v>
      </c>
      <c r="I146" s="5">
        <v>44593</v>
      </c>
      <c r="J146" s="6">
        <v>0</v>
      </c>
      <c r="K146" s="6">
        <v>0</v>
      </c>
      <c r="L146" s="6">
        <v>14.499000000000001</v>
      </c>
      <c r="M146" s="6">
        <v>14.499000000000001</v>
      </c>
      <c r="N146" s="6">
        <v>14.499000000000001</v>
      </c>
      <c r="O146" s="6">
        <v>14.499000000000001</v>
      </c>
      <c r="P146" s="6">
        <v>35</v>
      </c>
      <c r="Q146" s="4" t="s">
        <v>26</v>
      </c>
      <c r="R146" s="4">
        <v>0</v>
      </c>
      <c r="S146" s="4" t="s">
        <v>181</v>
      </c>
      <c r="T146" s="4" t="s">
        <v>333</v>
      </c>
      <c r="U146" s="4">
        <v>0</v>
      </c>
      <c r="V146" s="4">
        <v>13</v>
      </c>
      <c r="W146" s="4">
        <v>69</v>
      </c>
    </row>
    <row r="147" spans="1:23" ht="11.25" customHeight="1" x14ac:dyDescent="0.25">
      <c r="A147" s="4" t="s">
        <v>21</v>
      </c>
      <c r="B147" s="4" t="s">
        <v>22</v>
      </c>
      <c r="C147" s="4" t="s">
        <v>23</v>
      </c>
      <c r="D147" s="4" t="s">
        <v>24</v>
      </c>
      <c r="E147" s="4" t="s">
        <v>30</v>
      </c>
      <c r="F147" s="4" t="s">
        <v>25</v>
      </c>
      <c r="G147" s="4" t="s">
        <v>25</v>
      </c>
      <c r="H147" s="4" t="s">
        <v>25</v>
      </c>
      <c r="I147" s="5">
        <v>44621</v>
      </c>
      <c r="J147" s="6">
        <v>0</v>
      </c>
      <c r="K147" s="6">
        <v>0</v>
      </c>
      <c r="L147" s="6">
        <v>26.244</v>
      </c>
      <c r="M147" s="6">
        <v>26.244</v>
      </c>
      <c r="N147" s="6">
        <v>26.244</v>
      </c>
      <c r="O147" s="6">
        <v>26.244</v>
      </c>
      <c r="P147" s="6">
        <v>109</v>
      </c>
      <c r="Q147" s="4" t="s">
        <v>26</v>
      </c>
      <c r="R147" s="4">
        <v>0</v>
      </c>
      <c r="S147" s="4" t="s">
        <v>182</v>
      </c>
      <c r="T147" s="4" t="s">
        <v>334</v>
      </c>
      <c r="U147" s="4">
        <v>0</v>
      </c>
      <c r="V147" s="4">
        <v>13</v>
      </c>
      <c r="W147" s="4">
        <v>69</v>
      </c>
    </row>
    <row r="148" spans="1:23" ht="11.25" customHeight="1" x14ac:dyDescent="0.25">
      <c r="A148" s="4" t="s">
        <v>21</v>
      </c>
      <c r="B148" s="4" t="s">
        <v>22</v>
      </c>
      <c r="C148" s="4" t="s">
        <v>23</v>
      </c>
      <c r="D148" s="4" t="s">
        <v>24</v>
      </c>
      <c r="E148" s="4" t="s">
        <v>30</v>
      </c>
      <c r="F148" s="4" t="s">
        <v>25</v>
      </c>
      <c r="G148" s="4" t="s">
        <v>25</v>
      </c>
      <c r="H148" s="4" t="s">
        <v>25</v>
      </c>
      <c r="I148" s="5">
        <v>44652</v>
      </c>
      <c r="J148" s="6">
        <v>0</v>
      </c>
      <c r="K148" s="6">
        <v>0</v>
      </c>
      <c r="L148" s="6">
        <v>36.750999999999998</v>
      </c>
      <c r="M148" s="6">
        <v>36.750999999999998</v>
      </c>
      <c r="N148" s="6">
        <v>36.750999999999998</v>
      </c>
      <c r="O148" s="6">
        <v>36.750999999999998</v>
      </c>
      <c r="P148" s="6">
        <v>150</v>
      </c>
      <c r="Q148" s="4" t="s">
        <v>26</v>
      </c>
      <c r="R148" s="4">
        <v>0</v>
      </c>
      <c r="S148" s="4" t="s">
        <v>183</v>
      </c>
      <c r="T148" s="4" t="s">
        <v>335</v>
      </c>
      <c r="U148" s="4">
        <v>0</v>
      </c>
      <c r="V148" s="4">
        <v>13</v>
      </c>
      <c r="W148" s="4">
        <v>69</v>
      </c>
    </row>
    <row r="149" spans="1:23" ht="11.25" customHeight="1" x14ac:dyDescent="0.25">
      <c r="A149" s="4" t="s">
        <v>21</v>
      </c>
      <c r="B149" s="4" t="s">
        <v>22</v>
      </c>
      <c r="C149" s="4" t="s">
        <v>23</v>
      </c>
      <c r="D149" s="4" t="s">
        <v>24</v>
      </c>
      <c r="E149" s="4" t="s">
        <v>30</v>
      </c>
      <c r="F149" s="4" t="s">
        <v>25</v>
      </c>
      <c r="G149" s="4" t="s">
        <v>25</v>
      </c>
      <c r="H149" s="4" t="s">
        <v>25</v>
      </c>
      <c r="I149" s="5">
        <v>44682</v>
      </c>
      <c r="J149" s="6">
        <v>0</v>
      </c>
      <c r="K149" s="6">
        <v>0</v>
      </c>
      <c r="L149" s="6">
        <v>38.4</v>
      </c>
      <c r="M149" s="6">
        <v>38.4</v>
      </c>
      <c r="N149" s="6">
        <v>38.4</v>
      </c>
      <c r="O149" s="6">
        <v>38.4</v>
      </c>
      <c r="P149" s="6">
        <v>175</v>
      </c>
      <c r="Q149" s="4" t="s">
        <v>26</v>
      </c>
      <c r="R149" s="4">
        <v>0</v>
      </c>
      <c r="S149" s="4" t="s">
        <v>184</v>
      </c>
      <c r="T149" s="4" t="s">
        <v>336</v>
      </c>
      <c r="U149" s="4">
        <v>0</v>
      </c>
      <c r="V149" s="4">
        <v>13</v>
      </c>
      <c r="W149" s="4">
        <v>69</v>
      </c>
    </row>
    <row r="150" spans="1:23" ht="11.25" customHeight="1" x14ac:dyDescent="0.25">
      <c r="A150" s="4" t="s">
        <v>21</v>
      </c>
      <c r="B150" s="4" t="s">
        <v>22</v>
      </c>
      <c r="C150" s="4" t="s">
        <v>23</v>
      </c>
      <c r="D150" s="4" t="s">
        <v>24</v>
      </c>
      <c r="E150" s="4" t="s">
        <v>30</v>
      </c>
      <c r="F150" s="4" t="s">
        <v>25</v>
      </c>
      <c r="G150" s="4" t="s">
        <v>25</v>
      </c>
      <c r="H150" s="4" t="s">
        <v>25</v>
      </c>
      <c r="I150" s="5">
        <v>44713</v>
      </c>
      <c r="J150" s="6">
        <v>0</v>
      </c>
      <c r="K150" s="6">
        <v>0</v>
      </c>
      <c r="L150" s="6">
        <v>40.319000000000003</v>
      </c>
      <c r="M150" s="6">
        <v>40.319000000000003</v>
      </c>
      <c r="N150" s="6">
        <v>40.319000000000003</v>
      </c>
      <c r="O150" s="6">
        <v>40.319000000000003</v>
      </c>
      <c r="P150" s="6">
        <v>180</v>
      </c>
      <c r="Q150" s="4" t="s">
        <v>26</v>
      </c>
      <c r="R150" s="4">
        <v>0</v>
      </c>
      <c r="S150" s="4" t="s">
        <v>185</v>
      </c>
      <c r="T150" s="4" t="s">
        <v>337</v>
      </c>
      <c r="U150" s="4">
        <v>0</v>
      </c>
      <c r="V150" s="4">
        <v>13</v>
      </c>
      <c r="W150" s="4">
        <v>69</v>
      </c>
    </row>
    <row r="151" spans="1:23" ht="11.25" customHeight="1" x14ac:dyDescent="0.25">
      <c r="A151" s="4" t="s">
        <v>21</v>
      </c>
      <c r="B151" s="4" t="s">
        <v>22</v>
      </c>
      <c r="C151" s="4" t="s">
        <v>23</v>
      </c>
      <c r="D151" s="4" t="s">
        <v>24</v>
      </c>
      <c r="E151" s="4" t="s">
        <v>31</v>
      </c>
      <c r="F151" s="4" t="s">
        <v>25</v>
      </c>
      <c r="G151" s="4" t="s">
        <v>25</v>
      </c>
      <c r="H151" s="4" t="s">
        <v>25</v>
      </c>
      <c r="I151" s="5">
        <v>44378</v>
      </c>
      <c r="J151" s="6">
        <v>0</v>
      </c>
      <c r="K151" s="6">
        <v>0</v>
      </c>
      <c r="L151" s="6">
        <v>8.4429999999999996</v>
      </c>
      <c r="M151" s="6">
        <v>8.4429999999999996</v>
      </c>
      <c r="N151" s="6">
        <v>8.4429999999999996</v>
      </c>
      <c r="O151" s="6">
        <v>8.4429999999999996</v>
      </c>
      <c r="P151" s="6">
        <v>70</v>
      </c>
      <c r="Q151" s="4" t="s">
        <v>26</v>
      </c>
      <c r="R151" s="4">
        <v>0</v>
      </c>
      <c r="S151" s="4" t="s">
        <v>186</v>
      </c>
      <c r="T151" s="4" t="s">
        <v>338</v>
      </c>
      <c r="U151" s="4">
        <v>0</v>
      </c>
      <c r="V151" s="4">
        <v>4</v>
      </c>
      <c r="W151" s="4">
        <v>60</v>
      </c>
    </row>
    <row r="152" spans="1:23" ht="11.25" customHeight="1" x14ac:dyDescent="0.25">
      <c r="A152" s="4" t="s">
        <v>21</v>
      </c>
      <c r="B152" s="4" t="s">
        <v>22</v>
      </c>
      <c r="C152" s="4" t="s">
        <v>23</v>
      </c>
      <c r="D152" s="4" t="s">
        <v>24</v>
      </c>
      <c r="E152" s="4" t="s">
        <v>31</v>
      </c>
      <c r="F152" s="4" t="s">
        <v>25</v>
      </c>
      <c r="G152" s="4" t="s">
        <v>25</v>
      </c>
      <c r="H152" s="4" t="s">
        <v>25</v>
      </c>
      <c r="I152" s="5">
        <v>44409</v>
      </c>
      <c r="J152" s="6">
        <v>0</v>
      </c>
      <c r="K152" s="6">
        <v>0</v>
      </c>
      <c r="L152" s="6">
        <v>9.3889999999999993</v>
      </c>
      <c r="M152" s="6">
        <v>9.3889999999999993</v>
      </c>
      <c r="N152" s="6">
        <v>9.3889999999999993</v>
      </c>
      <c r="O152" s="6">
        <v>9.3889999999999993</v>
      </c>
      <c r="P152" s="6">
        <v>72</v>
      </c>
      <c r="Q152" s="4" t="s">
        <v>26</v>
      </c>
      <c r="R152" s="4">
        <v>0</v>
      </c>
      <c r="S152" s="4" t="s">
        <v>187</v>
      </c>
      <c r="T152" s="4" t="s">
        <v>339</v>
      </c>
      <c r="U152" s="4">
        <v>0</v>
      </c>
      <c r="V152" s="4">
        <v>4</v>
      </c>
      <c r="W152" s="4">
        <v>60</v>
      </c>
    </row>
    <row r="153" spans="1:23" ht="11.25" customHeight="1" x14ac:dyDescent="0.25">
      <c r="A153" s="4" t="s">
        <v>21</v>
      </c>
      <c r="B153" s="4" t="s">
        <v>22</v>
      </c>
      <c r="C153" s="4" t="s">
        <v>23</v>
      </c>
      <c r="D153" s="4" t="s">
        <v>24</v>
      </c>
      <c r="E153" s="4" t="s">
        <v>31</v>
      </c>
      <c r="F153" s="4" t="s">
        <v>25</v>
      </c>
      <c r="G153" s="4" t="s">
        <v>25</v>
      </c>
      <c r="H153" s="4" t="s">
        <v>25</v>
      </c>
      <c r="I153" s="5">
        <v>44440</v>
      </c>
      <c r="J153" s="6">
        <v>0</v>
      </c>
      <c r="K153" s="6">
        <v>0</v>
      </c>
      <c r="L153" s="6">
        <v>8.8919999999999995</v>
      </c>
      <c r="M153" s="6">
        <v>8.8919999999999995</v>
      </c>
      <c r="N153" s="6">
        <v>8.8919999999999995</v>
      </c>
      <c r="O153" s="6">
        <v>8.8919999999999995</v>
      </c>
      <c r="P153" s="6">
        <v>70</v>
      </c>
      <c r="Q153" s="4" t="s">
        <v>26</v>
      </c>
      <c r="R153" s="4">
        <v>0</v>
      </c>
      <c r="S153" s="4" t="s">
        <v>188</v>
      </c>
      <c r="T153" s="4" t="s">
        <v>340</v>
      </c>
      <c r="U153" s="4">
        <v>0</v>
      </c>
      <c r="V153" s="4">
        <v>4</v>
      </c>
      <c r="W153" s="4">
        <v>60</v>
      </c>
    </row>
    <row r="154" spans="1:23" ht="11.25" customHeight="1" x14ac:dyDescent="0.25">
      <c r="A154" s="4" t="s">
        <v>21</v>
      </c>
      <c r="B154" s="4" t="s">
        <v>22</v>
      </c>
      <c r="C154" s="4" t="s">
        <v>23</v>
      </c>
      <c r="D154" s="4" t="s">
        <v>24</v>
      </c>
      <c r="E154" s="4" t="s">
        <v>31</v>
      </c>
      <c r="F154" s="4" t="s">
        <v>25</v>
      </c>
      <c r="G154" s="4" t="s">
        <v>25</v>
      </c>
      <c r="H154" s="4" t="s">
        <v>25</v>
      </c>
      <c r="I154" s="5">
        <v>44470</v>
      </c>
      <c r="J154" s="6">
        <v>0</v>
      </c>
      <c r="K154" s="6">
        <v>0</v>
      </c>
      <c r="L154" s="6">
        <v>10.034000000000001</v>
      </c>
      <c r="M154" s="6">
        <v>10.034000000000001</v>
      </c>
      <c r="N154" s="6">
        <v>10.034000000000001</v>
      </c>
      <c r="O154" s="6">
        <v>10.034000000000001</v>
      </c>
      <c r="P154" s="6">
        <v>78</v>
      </c>
      <c r="Q154" s="4" t="s">
        <v>26</v>
      </c>
      <c r="R154" s="4">
        <v>0</v>
      </c>
      <c r="S154" s="4" t="s">
        <v>189</v>
      </c>
      <c r="T154" s="4" t="s">
        <v>341</v>
      </c>
      <c r="U154" s="4">
        <v>0</v>
      </c>
      <c r="V154" s="4">
        <v>4</v>
      </c>
      <c r="W154" s="4">
        <v>60</v>
      </c>
    </row>
    <row r="155" spans="1:23" ht="11.25" customHeight="1" x14ac:dyDescent="0.25">
      <c r="A155" s="4" t="s">
        <v>21</v>
      </c>
      <c r="B155" s="4" t="s">
        <v>22</v>
      </c>
      <c r="C155" s="4" t="s">
        <v>23</v>
      </c>
      <c r="D155" s="4" t="s">
        <v>24</v>
      </c>
      <c r="E155" s="4" t="s">
        <v>31</v>
      </c>
      <c r="F155" s="4" t="s">
        <v>25</v>
      </c>
      <c r="G155" s="4" t="s">
        <v>25</v>
      </c>
      <c r="H155" s="4" t="s">
        <v>25</v>
      </c>
      <c r="I155" s="5">
        <v>44501</v>
      </c>
      <c r="J155" s="6">
        <v>0</v>
      </c>
      <c r="K155" s="6">
        <v>0</v>
      </c>
      <c r="L155" s="6">
        <v>10.375999999999999</v>
      </c>
      <c r="M155" s="6">
        <v>10.375999999999999</v>
      </c>
      <c r="N155" s="6">
        <v>10.375999999999999</v>
      </c>
      <c r="O155" s="6">
        <v>10.375999999999999</v>
      </c>
      <c r="P155" s="6">
        <v>88</v>
      </c>
      <c r="Q155" s="4" t="s">
        <v>26</v>
      </c>
      <c r="R155" s="4">
        <v>0</v>
      </c>
      <c r="S155" s="4" t="s">
        <v>190</v>
      </c>
      <c r="T155" s="4" t="s">
        <v>342</v>
      </c>
      <c r="U155" s="4">
        <v>0</v>
      </c>
      <c r="V155" s="4">
        <v>4</v>
      </c>
      <c r="W155" s="4">
        <v>60</v>
      </c>
    </row>
    <row r="156" spans="1:23" ht="11.25" customHeight="1" x14ac:dyDescent="0.25">
      <c r="A156" s="4" t="s">
        <v>21</v>
      </c>
      <c r="B156" s="4" t="s">
        <v>22</v>
      </c>
      <c r="C156" s="4" t="s">
        <v>23</v>
      </c>
      <c r="D156" s="4" t="s">
        <v>24</v>
      </c>
      <c r="E156" s="4" t="s">
        <v>31</v>
      </c>
      <c r="F156" s="4" t="s">
        <v>25</v>
      </c>
      <c r="G156" s="4" t="s">
        <v>25</v>
      </c>
      <c r="H156" s="4" t="s">
        <v>25</v>
      </c>
      <c r="I156" s="5">
        <v>44531</v>
      </c>
      <c r="J156" s="6">
        <v>0</v>
      </c>
      <c r="K156" s="6">
        <v>0</v>
      </c>
      <c r="L156" s="6">
        <v>9.7309999999999999</v>
      </c>
      <c r="M156" s="6">
        <v>9.7309999999999999</v>
      </c>
      <c r="N156" s="6">
        <v>9.7309999999999999</v>
      </c>
      <c r="O156" s="6">
        <v>9.7309999999999999</v>
      </c>
      <c r="P156" s="6">
        <v>105</v>
      </c>
      <c r="Q156" s="4" t="s">
        <v>26</v>
      </c>
      <c r="R156" s="4">
        <v>0</v>
      </c>
      <c r="S156" s="4" t="s">
        <v>191</v>
      </c>
      <c r="T156" s="4" t="s">
        <v>343</v>
      </c>
      <c r="U156" s="4">
        <v>0</v>
      </c>
      <c r="V156" s="4">
        <v>4</v>
      </c>
      <c r="W156" s="4">
        <v>60</v>
      </c>
    </row>
    <row r="157" spans="1:23" ht="11.25" customHeight="1" x14ac:dyDescent="0.25">
      <c r="A157" s="4" t="s">
        <v>21</v>
      </c>
      <c r="B157" s="4" t="s">
        <v>22</v>
      </c>
      <c r="C157" s="4" t="s">
        <v>23</v>
      </c>
      <c r="D157" s="4" t="s">
        <v>24</v>
      </c>
      <c r="E157" s="4" t="s">
        <v>31</v>
      </c>
      <c r="F157" s="4" t="s">
        <v>25</v>
      </c>
      <c r="G157" s="4" t="s">
        <v>25</v>
      </c>
      <c r="H157" s="4" t="s">
        <v>25</v>
      </c>
      <c r="I157" s="5">
        <v>44562</v>
      </c>
      <c r="J157" s="6">
        <v>0</v>
      </c>
      <c r="K157" s="6">
        <v>0</v>
      </c>
      <c r="L157" s="6">
        <v>11.601000000000001</v>
      </c>
      <c r="M157" s="6">
        <v>11.601000000000001</v>
      </c>
      <c r="N157" s="6">
        <v>11.601000000000001</v>
      </c>
      <c r="O157" s="6">
        <v>11.601000000000001</v>
      </c>
      <c r="P157" s="6">
        <v>86</v>
      </c>
      <c r="Q157" s="4" t="s">
        <v>26</v>
      </c>
      <c r="R157" s="4">
        <v>0</v>
      </c>
      <c r="S157" s="4" t="s">
        <v>192</v>
      </c>
      <c r="T157" s="4" t="s">
        <v>344</v>
      </c>
      <c r="U157" s="4">
        <v>0</v>
      </c>
      <c r="V157" s="4">
        <v>4</v>
      </c>
      <c r="W157" s="4">
        <v>60</v>
      </c>
    </row>
    <row r="158" spans="1:23" ht="11.25" customHeight="1" x14ac:dyDescent="0.25">
      <c r="A158" s="4" t="s">
        <v>27</v>
      </c>
      <c r="B158" s="4" t="s">
        <v>22</v>
      </c>
      <c r="C158" s="4" t="s">
        <v>23</v>
      </c>
      <c r="D158" s="4" t="s">
        <v>24</v>
      </c>
      <c r="E158" s="4" t="s">
        <v>31</v>
      </c>
      <c r="F158" s="4" t="s">
        <v>25</v>
      </c>
      <c r="G158" s="4" t="s">
        <v>25</v>
      </c>
      <c r="H158" s="4" t="s">
        <v>25</v>
      </c>
      <c r="I158" s="5">
        <v>44562</v>
      </c>
      <c r="J158" s="6">
        <v>0</v>
      </c>
      <c r="K158" s="6">
        <v>0</v>
      </c>
      <c r="L158" s="6">
        <v>0.02</v>
      </c>
      <c r="M158" s="6">
        <v>0.02</v>
      </c>
      <c r="N158" s="6">
        <v>0.02</v>
      </c>
      <c r="O158" s="6">
        <v>0.02</v>
      </c>
      <c r="P158" s="6">
        <v>0</v>
      </c>
      <c r="Q158" s="4" t="s">
        <v>26</v>
      </c>
      <c r="R158" s="4">
        <v>0</v>
      </c>
      <c r="S158" s="4" t="s">
        <v>192</v>
      </c>
      <c r="T158" s="4" t="s">
        <v>344</v>
      </c>
      <c r="U158" s="4">
        <v>0</v>
      </c>
      <c r="V158" s="4">
        <v>4</v>
      </c>
      <c r="W158" s="4">
        <v>60</v>
      </c>
    </row>
    <row r="159" spans="1:23" ht="11.25" customHeight="1" x14ac:dyDescent="0.25">
      <c r="A159" s="4" t="s">
        <v>21</v>
      </c>
      <c r="B159" s="4" t="s">
        <v>22</v>
      </c>
      <c r="C159" s="4" t="s">
        <v>23</v>
      </c>
      <c r="D159" s="4" t="s">
        <v>24</v>
      </c>
      <c r="E159" s="4" t="s">
        <v>31</v>
      </c>
      <c r="F159" s="4" t="s">
        <v>25</v>
      </c>
      <c r="G159" s="4" t="s">
        <v>25</v>
      </c>
      <c r="H159" s="4" t="s">
        <v>25</v>
      </c>
      <c r="I159" s="5">
        <v>44593</v>
      </c>
      <c r="J159" s="6">
        <v>0</v>
      </c>
      <c r="K159" s="6">
        <v>0</v>
      </c>
      <c r="L159" s="6">
        <v>13.962</v>
      </c>
      <c r="M159" s="6">
        <v>13.962</v>
      </c>
      <c r="N159" s="6">
        <v>13.962</v>
      </c>
      <c r="O159" s="6">
        <v>13.962</v>
      </c>
      <c r="P159" s="6">
        <v>133</v>
      </c>
      <c r="Q159" s="4" t="s">
        <v>26</v>
      </c>
      <c r="R159" s="4">
        <v>0</v>
      </c>
      <c r="S159" s="4" t="s">
        <v>193</v>
      </c>
      <c r="T159" s="4" t="s">
        <v>345</v>
      </c>
      <c r="U159" s="4">
        <v>0</v>
      </c>
      <c r="V159" s="4">
        <v>4</v>
      </c>
      <c r="W159" s="4">
        <v>60</v>
      </c>
    </row>
    <row r="160" spans="1:23" ht="11.25" customHeight="1" x14ac:dyDescent="0.25">
      <c r="A160" s="4" t="s">
        <v>21</v>
      </c>
      <c r="B160" s="4" t="s">
        <v>22</v>
      </c>
      <c r="C160" s="4" t="s">
        <v>23</v>
      </c>
      <c r="D160" s="4" t="s">
        <v>24</v>
      </c>
      <c r="E160" s="4" t="s">
        <v>31</v>
      </c>
      <c r="F160" s="4" t="s">
        <v>25</v>
      </c>
      <c r="G160" s="4" t="s">
        <v>25</v>
      </c>
      <c r="H160" s="4" t="s">
        <v>25</v>
      </c>
      <c r="I160" s="5">
        <v>44621</v>
      </c>
      <c r="J160" s="6">
        <v>0</v>
      </c>
      <c r="K160" s="6">
        <v>0</v>
      </c>
      <c r="L160" s="6">
        <v>21.436</v>
      </c>
      <c r="M160" s="6">
        <v>21.436</v>
      </c>
      <c r="N160" s="6">
        <v>21.436</v>
      </c>
      <c r="O160" s="6">
        <v>21.436</v>
      </c>
      <c r="P160" s="6">
        <v>232</v>
      </c>
      <c r="Q160" s="4" t="s">
        <v>26</v>
      </c>
      <c r="R160" s="4">
        <v>0</v>
      </c>
      <c r="S160" s="4" t="s">
        <v>194</v>
      </c>
      <c r="T160" s="4" t="s">
        <v>346</v>
      </c>
      <c r="U160" s="4">
        <v>0</v>
      </c>
      <c r="V160" s="4">
        <v>4</v>
      </c>
      <c r="W160" s="4">
        <v>60</v>
      </c>
    </row>
    <row r="161" spans="1:23" ht="11.25" customHeight="1" x14ac:dyDescent="0.25">
      <c r="A161" s="4" t="s">
        <v>21</v>
      </c>
      <c r="B161" s="4" t="s">
        <v>22</v>
      </c>
      <c r="C161" s="4" t="s">
        <v>23</v>
      </c>
      <c r="D161" s="4" t="s">
        <v>24</v>
      </c>
      <c r="E161" s="4" t="s">
        <v>31</v>
      </c>
      <c r="F161" s="4" t="s">
        <v>25</v>
      </c>
      <c r="G161" s="4" t="s">
        <v>25</v>
      </c>
      <c r="H161" s="4" t="s">
        <v>25</v>
      </c>
      <c r="I161" s="5">
        <v>44652</v>
      </c>
      <c r="J161" s="6">
        <v>0</v>
      </c>
      <c r="K161" s="6">
        <v>0</v>
      </c>
      <c r="L161" s="6">
        <v>33.137999999999998</v>
      </c>
      <c r="M161" s="6">
        <v>33.137999999999998</v>
      </c>
      <c r="N161" s="6">
        <v>33.137999999999998</v>
      </c>
      <c r="O161" s="6">
        <v>33.137999999999998</v>
      </c>
      <c r="P161" s="6">
        <v>309</v>
      </c>
      <c r="Q161" s="4" t="s">
        <v>26</v>
      </c>
      <c r="R161" s="4">
        <v>0</v>
      </c>
      <c r="S161" s="4" t="s">
        <v>195</v>
      </c>
      <c r="T161" s="4" t="s">
        <v>347</v>
      </c>
      <c r="U161" s="4">
        <v>0</v>
      </c>
      <c r="V161" s="4">
        <v>4</v>
      </c>
      <c r="W161" s="4">
        <v>60</v>
      </c>
    </row>
    <row r="162" spans="1:23" ht="11.25" customHeight="1" x14ac:dyDescent="0.25">
      <c r="A162" s="4" t="s">
        <v>21</v>
      </c>
      <c r="B162" s="4" t="s">
        <v>22</v>
      </c>
      <c r="C162" s="4" t="s">
        <v>23</v>
      </c>
      <c r="D162" s="4" t="s">
        <v>24</v>
      </c>
      <c r="E162" s="4" t="s">
        <v>31</v>
      </c>
      <c r="F162" s="4" t="s">
        <v>25</v>
      </c>
      <c r="G162" s="4" t="s">
        <v>25</v>
      </c>
      <c r="H162" s="4" t="s">
        <v>25</v>
      </c>
      <c r="I162" s="5">
        <v>44682</v>
      </c>
      <c r="J162" s="6">
        <v>0</v>
      </c>
      <c r="K162" s="6">
        <v>0</v>
      </c>
      <c r="L162" s="6">
        <v>32.121000000000002</v>
      </c>
      <c r="M162" s="6">
        <v>32.121000000000002</v>
      </c>
      <c r="N162" s="6">
        <v>32.121000000000002</v>
      </c>
      <c r="O162" s="6">
        <v>32.121000000000002</v>
      </c>
      <c r="P162" s="6">
        <v>333</v>
      </c>
      <c r="Q162" s="4" t="s">
        <v>26</v>
      </c>
      <c r="R162" s="4">
        <v>0</v>
      </c>
      <c r="S162" s="4" t="s">
        <v>196</v>
      </c>
      <c r="T162" s="4" t="s">
        <v>348</v>
      </c>
      <c r="U162" s="4">
        <v>0</v>
      </c>
      <c r="V162" s="4">
        <v>4</v>
      </c>
      <c r="W162" s="4">
        <v>60</v>
      </c>
    </row>
    <row r="163" spans="1:23" ht="11.25" customHeight="1" x14ac:dyDescent="0.25">
      <c r="A163" s="4" t="s">
        <v>21</v>
      </c>
      <c r="B163" s="4" t="s">
        <v>22</v>
      </c>
      <c r="C163" s="4" t="s">
        <v>23</v>
      </c>
      <c r="D163" s="4" t="s">
        <v>24</v>
      </c>
      <c r="E163" s="4" t="s">
        <v>31</v>
      </c>
      <c r="F163" s="4" t="s">
        <v>25</v>
      </c>
      <c r="G163" s="4" t="s">
        <v>25</v>
      </c>
      <c r="H163" s="4" t="s">
        <v>25</v>
      </c>
      <c r="I163" s="5">
        <v>44713</v>
      </c>
      <c r="J163" s="6">
        <v>0</v>
      </c>
      <c r="K163" s="6">
        <v>0</v>
      </c>
      <c r="L163" s="6">
        <v>36.084000000000003</v>
      </c>
      <c r="M163" s="6">
        <v>36.084000000000003</v>
      </c>
      <c r="N163" s="6">
        <v>36.084000000000003</v>
      </c>
      <c r="O163" s="6">
        <v>36.084000000000003</v>
      </c>
      <c r="P163" s="6">
        <v>329</v>
      </c>
      <c r="Q163" s="4" t="s">
        <v>26</v>
      </c>
      <c r="R163" s="4">
        <v>0</v>
      </c>
      <c r="S163" s="4" t="s">
        <v>197</v>
      </c>
      <c r="T163" s="4" t="s">
        <v>349</v>
      </c>
      <c r="U163" s="4">
        <v>0</v>
      </c>
      <c r="V163" s="4">
        <v>4</v>
      </c>
      <c r="W163" s="4">
        <v>60</v>
      </c>
    </row>
    <row r="164" spans="1:23" ht="11.25" customHeight="1" x14ac:dyDescent="0.25">
      <c r="A164" s="4" t="s">
        <v>21</v>
      </c>
      <c r="B164" s="4" t="s">
        <v>22</v>
      </c>
      <c r="C164" s="4" t="s">
        <v>23</v>
      </c>
      <c r="D164" s="4" t="s">
        <v>24</v>
      </c>
      <c r="E164" s="4" t="s">
        <v>32</v>
      </c>
      <c r="F164" s="4" t="s">
        <v>25</v>
      </c>
      <c r="G164" s="4" t="s">
        <v>25</v>
      </c>
      <c r="H164" s="4" t="s">
        <v>25</v>
      </c>
      <c r="I164" s="5">
        <v>44378</v>
      </c>
      <c r="J164" s="6">
        <v>0</v>
      </c>
      <c r="K164" s="6">
        <v>0</v>
      </c>
      <c r="L164" s="6">
        <v>2.835</v>
      </c>
      <c r="M164" s="6">
        <v>2.835</v>
      </c>
      <c r="N164" s="6">
        <v>2.835</v>
      </c>
      <c r="O164" s="6">
        <v>2.835</v>
      </c>
      <c r="P164" s="6">
        <v>39</v>
      </c>
      <c r="Q164" s="4" t="s">
        <v>26</v>
      </c>
      <c r="R164" s="4">
        <v>0</v>
      </c>
      <c r="S164" s="4" t="s">
        <v>198</v>
      </c>
      <c r="T164" s="4" t="s">
        <v>350</v>
      </c>
      <c r="U164" s="4">
        <v>0</v>
      </c>
      <c r="V164" s="4">
        <v>43</v>
      </c>
      <c r="W164" s="4">
        <v>66</v>
      </c>
    </row>
    <row r="165" spans="1:23" ht="11.25" customHeight="1" x14ac:dyDescent="0.25">
      <c r="A165" s="4" t="s">
        <v>21</v>
      </c>
      <c r="B165" s="4" t="s">
        <v>22</v>
      </c>
      <c r="C165" s="4" t="s">
        <v>23</v>
      </c>
      <c r="D165" s="4" t="s">
        <v>24</v>
      </c>
      <c r="E165" s="4" t="s">
        <v>32</v>
      </c>
      <c r="F165" s="4" t="s">
        <v>25</v>
      </c>
      <c r="G165" s="4" t="s">
        <v>25</v>
      </c>
      <c r="H165" s="4" t="s">
        <v>25</v>
      </c>
      <c r="I165" s="5">
        <v>44409</v>
      </c>
      <c r="J165" s="6">
        <v>0</v>
      </c>
      <c r="K165" s="6">
        <v>0</v>
      </c>
      <c r="L165" s="6">
        <v>3.5529999999999999</v>
      </c>
      <c r="M165" s="6">
        <v>3.5529999999999999</v>
      </c>
      <c r="N165" s="6">
        <v>3.5529999999999999</v>
      </c>
      <c r="O165" s="6">
        <v>3.5529999999999999</v>
      </c>
      <c r="P165" s="6">
        <v>44</v>
      </c>
      <c r="Q165" s="4" t="s">
        <v>26</v>
      </c>
      <c r="R165" s="4">
        <v>0</v>
      </c>
      <c r="S165" s="4" t="s">
        <v>199</v>
      </c>
      <c r="T165" s="4" t="s">
        <v>351</v>
      </c>
      <c r="U165" s="4">
        <v>0</v>
      </c>
      <c r="V165" s="4">
        <v>43</v>
      </c>
      <c r="W165" s="4">
        <v>66</v>
      </c>
    </row>
    <row r="166" spans="1:23" ht="11.25" customHeight="1" x14ac:dyDescent="0.25">
      <c r="A166" s="4" t="s">
        <v>21</v>
      </c>
      <c r="B166" s="4" t="s">
        <v>22</v>
      </c>
      <c r="C166" s="4" t="s">
        <v>23</v>
      </c>
      <c r="D166" s="4" t="s">
        <v>24</v>
      </c>
      <c r="E166" s="4" t="s">
        <v>32</v>
      </c>
      <c r="F166" s="4" t="s">
        <v>25</v>
      </c>
      <c r="G166" s="4" t="s">
        <v>25</v>
      </c>
      <c r="H166" s="4" t="s">
        <v>25</v>
      </c>
      <c r="I166" s="5">
        <v>44440</v>
      </c>
      <c r="J166" s="6">
        <v>0</v>
      </c>
      <c r="K166" s="6">
        <v>0</v>
      </c>
      <c r="L166" s="6">
        <v>2.9350000000000001</v>
      </c>
      <c r="M166" s="6">
        <v>2.9350000000000001</v>
      </c>
      <c r="N166" s="6">
        <v>2.9350000000000001</v>
      </c>
      <c r="O166" s="6">
        <v>2.9350000000000001</v>
      </c>
      <c r="P166" s="6">
        <v>41</v>
      </c>
      <c r="Q166" s="4" t="s">
        <v>26</v>
      </c>
      <c r="R166" s="4">
        <v>0</v>
      </c>
      <c r="S166" s="4" t="s">
        <v>200</v>
      </c>
      <c r="T166" s="4" t="s">
        <v>352</v>
      </c>
      <c r="U166" s="4">
        <v>0</v>
      </c>
      <c r="V166" s="4">
        <v>43</v>
      </c>
      <c r="W166" s="4">
        <v>66</v>
      </c>
    </row>
    <row r="167" spans="1:23" ht="11.25" customHeight="1" x14ac:dyDescent="0.25">
      <c r="A167" s="4" t="s">
        <v>21</v>
      </c>
      <c r="B167" s="4" t="s">
        <v>22</v>
      </c>
      <c r="C167" s="4" t="s">
        <v>23</v>
      </c>
      <c r="D167" s="4" t="s">
        <v>24</v>
      </c>
      <c r="E167" s="4" t="s">
        <v>32</v>
      </c>
      <c r="F167" s="4" t="s">
        <v>25</v>
      </c>
      <c r="G167" s="4" t="s">
        <v>25</v>
      </c>
      <c r="H167" s="4" t="s">
        <v>25</v>
      </c>
      <c r="I167" s="5">
        <v>44470</v>
      </c>
      <c r="J167" s="6">
        <v>0</v>
      </c>
      <c r="K167" s="6">
        <v>0</v>
      </c>
      <c r="L167" s="6">
        <v>3.6389999999999998</v>
      </c>
      <c r="M167" s="6">
        <v>3.6389999999999998</v>
      </c>
      <c r="N167" s="6">
        <v>3.6389999999999998</v>
      </c>
      <c r="O167" s="6">
        <v>3.6389999999999998</v>
      </c>
      <c r="P167" s="6">
        <v>43</v>
      </c>
      <c r="Q167" s="4" t="s">
        <v>26</v>
      </c>
      <c r="R167" s="4">
        <v>0</v>
      </c>
      <c r="S167" s="4" t="s">
        <v>201</v>
      </c>
      <c r="T167" s="4" t="s">
        <v>353</v>
      </c>
      <c r="U167" s="4">
        <v>0</v>
      </c>
      <c r="V167" s="4">
        <v>43</v>
      </c>
      <c r="W167" s="4">
        <v>66</v>
      </c>
    </row>
    <row r="168" spans="1:23" ht="11.25" customHeight="1" x14ac:dyDescent="0.25">
      <c r="A168" s="4" t="s">
        <v>21</v>
      </c>
      <c r="B168" s="4" t="s">
        <v>22</v>
      </c>
      <c r="C168" s="4" t="s">
        <v>23</v>
      </c>
      <c r="D168" s="4" t="s">
        <v>24</v>
      </c>
      <c r="E168" s="4" t="s">
        <v>32</v>
      </c>
      <c r="F168" s="4" t="s">
        <v>25</v>
      </c>
      <c r="G168" s="4" t="s">
        <v>25</v>
      </c>
      <c r="H168" s="4" t="s">
        <v>25</v>
      </c>
      <c r="I168" s="5">
        <v>44501</v>
      </c>
      <c r="J168" s="6">
        <v>0</v>
      </c>
      <c r="K168" s="6">
        <v>0</v>
      </c>
      <c r="L168" s="6">
        <v>3.077</v>
      </c>
      <c r="M168" s="6">
        <v>3.077</v>
      </c>
      <c r="N168" s="6">
        <v>3.077</v>
      </c>
      <c r="O168" s="6">
        <v>3.077</v>
      </c>
      <c r="P168" s="6">
        <v>42</v>
      </c>
      <c r="Q168" s="4" t="s">
        <v>26</v>
      </c>
      <c r="R168" s="4">
        <v>0</v>
      </c>
      <c r="S168" s="4" t="s">
        <v>202</v>
      </c>
      <c r="T168" s="4" t="s">
        <v>354</v>
      </c>
      <c r="U168" s="4">
        <v>0</v>
      </c>
      <c r="V168" s="4">
        <v>43</v>
      </c>
      <c r="W168" s="4">
        <v>66</v>
      </c>
    </row>
    <row r="169" spans="1:23" ht="11.25" customHeight="1" x14ac:dyDescent="0.25">
      <c r="A169" s="4" t="s">
        <v>21</v>
      </c>
      <c r="B169" s="4" t="s">
        <v>22</v>
      </c>
      <c r="C169" s="4" t="s">
        <v>23</v>
      </c>
      <c r="D169" s="4" t="s">
        <v>24</v>
      </c>
      <c r="E169" s="4" t="s">
        <v>32</v>
      </c>
      <c r="F169" s="4" t="s">
        <v>25</v>
      </c>
      <c r="G169" s="4" t="s">
        <v>25</v>
      </c>
      <c r="H169" s="4" t="s">
        <v>25</v>
      </c>
      <c r="I169" s="5">
        <v>44531</v>
      </c>
      <c r="J169" s="6">
        <v>0</v>
      </c>
      <c r="K169" s="6">
        <v>0</v>
      </c>
      <c r="L169" s="6">
        <v>2.1669999999999998</v>
      </c>
      <c r="M169" s="6">
        <v>2.1669999999999998</v>
      </c>
      <c r="N169" s="6">
        <v>2.1669999999999998</v>
      </c>
      <c r="O169" s="6">
        <v>2.1669999999999998</v>
      </c>
      <c r="P169" s="6">
        <v>30</v>
      </c>
      <c r="Q169" s="4" t="s">
        <v>26</v>
      </c>
      <c r="R169" s="4">
        <v>0</v>
      </c>
      <c r="S169" s="4" t="s">
        <v>203</v>
      </c>
      <c r="T169" s="4" t="s">
        <v>355</v>
      </c>
      <c r="U169" s="4">
        <v>0</v>
      </c>
      <c r="V169" s="4">
        <v>43</v>
      </c>
      <c r="W169" s="4">
        <v>66</v>
      </c>
    </row>
    <row r="170" spans="1:23" ht="11.25" customHeight="1" x14ac:dyDescent="0.25">
      <c r="A170" s="4" t="s">
        <v>21</v>
      </c>
      <c r="B170" s="4" t="s">
        <v>22</v>
      </c>
      <c r="C170" s="4" t="s">
        <v>23</v>
      </c>
      <c r="D170" s="4" t="s">
        <v>24</v>
      </c>
      <c r="E170" s="4" t="s">
        <v>32</v>
      </c>
      <c r="F170" s="4" t="s">
        <v>25</v>
      </c>
      <c r="G170" s="4" t="s">
        <v>25</v>
      </c>
      <c r="H170" s="4" t="s">
        <v>25</v>
      </c>
      <c r="I170" s="5">
        <v>44562</v>
      </c>
      <c r="J170" s="6">
        <v>0</v>
      </c>
      <c r="K170" s="6">
        <v>0</v>
      </c>
      <c r="L170" s="6">
        <v>3.621</v>
      </c>
      <c r="M170" s="6">
        <v>3.621</v>
      </c>
      <c r="N170" s="6">
        <v>3.621</v>
      </c>
      <c r="O170" s="6">
        <v>3.621</v>
      </c>
      <c r="P170" s="6">
        <v>51</v>
      </c>
      <c r="Q170" s="4" t="s">
        <v>26</v>
      </c>
      <c r="R170" s="4">
        <v>0</v>
      </c>
      <c r="S170" s="4" t="s">
        <v>204</v>
      </c>
      <c r="T170" s="4" t="s">
        <v>356</v>
      </c>
      <c r="U170" s="4">
        <v>0</v>
      </c>
      <c r="V170" s="4">
        <v>43</v>
      </c>
      <c r="W170" s="4">
        <v>66</v>
      </c>
    </row>
    <row r="171" spans="1:23" ht="11.25" customHeight="1" x14ac:dyDescent="0.25">
      <c r="A171" s="4" t="s">
        <v>27</v>
      </c>
      <c r="B171" s="4" t="s">
        <v>22</v>
      </c>
      <c r="C171" s="4" t="s">
        <v>23</v>
      </c>
      <c r="D171" s="4" t="s">
        <v>24</v>
      </c>
      <c r="E171" s="4" t="s">
        <v>32</v>
      </c>
      <c r="F171" s="4" t="s">
        <v>25</v>
      </c>
      <c r="G171" s="4" t="s">
        <v>25</v>
      </c>
      <c r="H171" s="4" t="s">
        <v>25</v>
      </c>
      <c r="I171" s="5">
        <v>44562</v>
      </c>
      <c r="J171" s="6">
        <v>0</v>
      </c>
      <c r="K171" s="6">
        <v>0</v>
      </c>
      <c r="L171" s="6">
        <v>2.9000000000000001E-2</v>
      </c>
      <c r="M171" s="6">
        <v>2.9000000000000001E-2</v>
      </c>
      <c r="N171" s="6">
        <v>2.9000000000000001E-2</v>
      </c>
      <c r="O171" s="6">
        <v>2.9000000000000001E-2</v>
      </c>
      <c r="P171" s="6">
        <v>0</v>
      </c>
      <c r="Q171" s="4" t="s">
        <v>26</v>
      </c>
      <c r="R171" s="4">
        <v>0</v>
      </c>
      <c r="S171" s="4" t="s">
        <v>204</v>
      </c>
      <c r="T171" s="4" t="s">
        <v>356</v>
      </c>
      <c r="U171" s="4">
        <v>0</v>
      </c>
      <c r="V171" s="4">
        <v>43</v>
      </c>
      <c r="W171" s="4">
        <v>66</v>
      </c>
    </row>
    <row r="172" spans="1:23" ht="11.25" customHeight="1" x14ac:dyDescent="0.25">
      <c r="A172" s="4" t="s">
        <v>21</v>
      </c>
      <c r="B172" s="4" t="s">
        <v>22</v>
      </c>
      <c r="C172" s="4" t="s">
        <v>23</v>
      </c>
      <c r="D172" s="4" t="s">
        <v>24</v>
      </c>
      <c r="E172" s="4" t="s">
        <v>32</v>
      </c>
      <c r="F172" s="4" t="s">
        <v>25</v>
      </c>
      <c r="G172" s="4" t="s">
        <v>25</v>
      </c>
      <c r="H172" s="4" t="s">
        <v>25</v>
      </c>
      <c r="I172" s="5">
        <v>44593</v>
      </c>
      <c r="J172" s="6">
        <v>0</v>
      </c>
      <c r="K172" s="6">
        <v>0</v>
      </c>
      <c r="L172" s="6">
        <v>5.1289999999999996</v>
      </c>
      <c r="M172" s="6">
        <v>5.1289999999999996</v>
      </c>
      <c r="N172" s="6">
        <v>5.1289999999999996</v>
      </c>
      <c r="O172" s="6">
        <v>5.1289999999999996</v>
      </c>
      <c r="P172" s="6">
        <v>52</v>
      </c>
      <c r="Q172" s="4" t="s">
        <v>26</v>
      </c>
      <c r="R172" s="4">
        <v>0</v>
      </c>
      <c r="S172" s="4" t="s">
        <v>205</v>
      </c>
      <c r="T172" s="4" t="s">
        <v>357</v>
      </c>
      <c r="U172" s="4">
        <v>0</v>
      </c>
      <c r="V172" s="4">
        <v>43</v>
      </c>
      <c r="W172" s="4">
        <v>66</v>
      </c>
    </row>
    <row r="173" spans="1:23" ht="11.25" customHeight="1" x14ac:dyDescent="0.25">
      <c r="A173" s="4" t="s">
        <v>21</v>
      </c>
      <c r="B173" s="4" t="s">
        <v>22</v>
      </c>
      <c r="C173" s="4" t="s">
        <v>23</v>
      </c>
      <c r="D173" s="4" t="s">
        <v>24</v>
      </c>
      <c r="E173" s="4" t="s">
        <v>32</v>
      </c>
      <c r="F173" s="4" t="s">
        <v>25</v>
      </c>
      <c r="G173" s="4" t="s">
        <v>25</v>
      </c>
      <c r="H173" s="4" t="s">
        <v>25</v>
      </c>
      <c r="I173" s="5">
        <v>44621</v>
      </c>
      <c r="J173" s="6">
        <v>0</v>
      </c>
      <c r="K173" s="6">
        <v>0</v>
      </c>
      <c r="L173" s="6">
        <v>7.258</v>
      </c>
      <c r="M173" s="6">
        <v>7.258</v>
      </c>
      <c r="N173" s="6">
        <v>7.258</v>
      </c>
      <c r="O173" s="6">
        <v>7.258</v>
      </c>
      <c r="P173" s="6">
        <v>76</v>
      </c>
      <c r="Q173" s="4" t="s">
        <v>26</v>
      </c>
      <c r="R173" s="4">
        <v>0</v>
      </c>
      <c r="S173" s="4" t="s">
        <v>206</v>
      </c>
      <c r="T173" s="4" t="s">
        <v>358</v>
      </c>
      <c r="U173" s="4">
        <v>0</v>
      </c>
      <c r="V173" s="4">
        <v>43</v>
      </c>
      <c r="W173" s="4">
        <v>66</v>
      </c>
    </row>
    <row r="174" spans="1:23" ht="11.25" customHeight="1" x14ac:dyDescent="0.25">
      <c r="A174" s="4" t="s">
        <v>21</v>
      </c>
      <c r="B174" s="4" t="s">
        <v>22</v>
      </c>
      <c r="C174" s="4" t="s">
        <v>23</v>
      </c>
      <c r="D174" s="4" t="s">
        <v>24</v>
      </c>
      <c r="E174" s="4" t="s">
        <v>32</v>
      </c>
      <c r="F174" s="4" t="s">
        <v>25</v>
      </c>
      <c r="G174" s="4" t="s">
        <v>25</v>
      </c>
      <c r="H174" s="4" t="s">
        <v>25</v>
      </c>
      <c r="I174" s="5">
        <v>44652</v>
      </c>
      <c r="J174" s="6">
        <v>0</v>
      </c>
      <c r="K174" s="6">
        <v>0</v>
      </c>
      <c r="L174" s="6">
        <v>13.558</v>
      </c>
      <c r="M174" s="6">
        <v>13.558</v>
      </c>
      <c r="N174" s="6">
        <v>13.558</v>
      </c>
      <c r="O174" s="6">
        <v>13.558</v>
      </c>
      <c r="P174" s="6">
        <v>128</v>
      </c>
      <c r="Q174" s="4" t="s">
        <v>26</v>
      </c>
      <c r="R174" s="4">
        <v>0</v>
      </c>
      <c r="S174" s="4" t="s">
        <v>207</v>
      </c>
      <c r="T174" s="4" t="s">
        <v>359</v>
      </c>
      <c r="U174" s="4">
        <v>0</v>
      </c>
      <c r="V174" s="4">
        <v>43</v>
      </c>
      <c r="W174" s="4">
        <v>66</v>
      </c>
    </row>
    <row r="175" spans="1:23" ht="11.25" customHeight="1" x14ac:dyDescent="0.25">
      <c r="A175" s="4" t="s">
        <v>21</v>
      </c>
      <c r="B175" s="4" t="s">
        <v>22</v>
      </c>
      <c r="C175" s="4" t="s">
        <v>23</v>
      </c>
      <c r="D175" s="4" t="s">
        <v>24</v>
      </c>
      <c r="E175" s="4" t="s">
        <v>32</v>
      </c>
      <c r="F175" s="4" t="s">
        <v>25</v>
      </c>
      <c r="G175" s="4" t="s">
        <v>25</v>
      </c>
      <c r="H175" s="4" t="s">
        <v>25</v>
      </c>
      <c r="I175" s="5">
        <v>44682</v>
      </c>
      <c r="J175" s="6">
        <v>0</v>
      </c>
      <c r="K175" s="6">
        <v>0</v>
      </c>
      <c r="L175" s="6">
        <v>12.082000000000001</v>
      </c>
      <c r="M175" s="6">
        <v>12.082000000000001</v>
      </c>
      <c r="N175" s="6">
        <v>12.082000000000001</v>
      </c>
      <c r="O175" s="6">
        <v>12.082000000000001</v>
      </c>
      <c r="P175" s="6">
        <v>120</v>
      </c>
      <c r="Q175" s="4" t="s">
        <v>26</v>
      </c>
      <c r="R175" s="4">
        <v>0</v>
      </c>
      <c r="S175" s="4" t="s">
        <v>208</v>
      </c>
      <c r="T175" s="4" t="s">
        <v>360</v>
      </c>
      <c r="U175" s="4">
        <v>0</v>
      </c>
      <c r="V175" s="4">
        <v>43</v>
      </c>
      <c r="W175" s="4">
        <v>66</v>
      </c>
    </row>
    <row r="176" spans="1:23" ht="11.25" customHeight="1" x14ac:dyDescent="0.25">
      <c r="A176" s="4" t="s">
        <v>21</v>
      </c>
      <c r="B176" s="4" t="s">
        <v>22</v>
      </c>
      <c r="C176" s="4" t="s">
        <v>23</v>
      </c>
      <c r="D176" s="4" t="s">
        <v>24</v>
      </c>
      <c r="E176" s="4" t="s">
        <v>32</v>
      </c>
      <c r="F176" s="4" t="s">
        <v>25</v>
      </c>
      <c r="G176" s="4" t="s">
        <v>25</v>
      </c>
      <c r="H176" s="4" t="s">
        <v>25</v>
      </c>
      <c r="I176" s="5">
        <v>44713</v>
      </c>
      <c r="J176" s="6">
        <v>0</v>
      </c>
      <c r="K176" s="6">
        <v>0</v>
      </c>
      <c r="L176" s="6">
        <v>15.427</v>
      </c>
      <c r="M176" s="6">
        <v>15.427</v>
      </c>
      <c r="N176" s="6">
        <v>15.427</v>
      </c>
      <c r="O176" s="6">
        <v>15.427</v>
      </c>
      <c r="P176" s="6">
        <v>149</v>
      </c>
      <c r="Q176" s="4" t="s">
        <v>26</v>
      </c>
      <c r="R176" s="4">
        <v>0</v>
      </c>
      <c r="S176" s="4" t="s">
        <v>209</v>
      </c>
      <c r="T176" s="4" t="s">
        <v>361</v>
      </c>
      <c r="U176" s="4">
        <v>0</v>
      </c>
      <c r="V176" s="4">
        <v>43</v>
      </c>
      <c r="W176" s="4">
        <v>66</v>
      </c>
    </row>
    <row r="177" spans="1:23" ht="11.25" customHeight="1" x14ac:dyDescent="0.25">
      <c r="A177" s="4" t="s">
        <v>21</v>
      </c>
      <c r="B177" s="4" t="s">
        <v>41</v>
      </c>
      <c r="C177" s="4" t="s">
        <v>23</v>
      </c>
      <c r="D177" s="4" t="s">
        <v>42</v>
      </c>
      <c r="E177" s="4" t="s">
        <v>25</v>
      </c>
      <c r="F177" s="4" t="s">
        <v>25</v>
      </c>
      <c r="G177" s="4" t="s">
        <v>25</v>
      </c>
      <c r="H177" s="4" t="s">
        <v>25</v>
      </c>
      <c r="I177" s="5">
        <v>44378</v>
      </c>
      <c r="J177" s="6">
        <v>0</v>
      </c>
      <c r="K177" s="6">
        <v>0</v>
      </c>
      <c r="L177" s="6">
        <v>54.207999999999998</v>
      </c>
      <c r="M177" s="6">
        <v>54.207999999999998</v>
      </c>
      <c r="N177" s="6">
        <v>54.207999999999998</v>
      </c>
      <c r="O177" s="6">
        <v>54.207999999999998</v>
      </c>
      <c r="P177" s="6">
        <v>41</v>
      </c>
      <c r="Q177" s="4" t="s">
        <v>26</v>
      </c>
      <c r="R177" s="4">
        <v>0</v>
      </c>
      <c r="S177" s="4" t="s">
        <v>210</v>
      </c>
      <c r="T177" s="4" t="s">
        <v>362</v>
      </c>
      <c r="U177" s="4">
        <v>0</v>
      </c>
      <c r="V177" s="4">
        <v>51</v>
      </c>
      <c r="W177" s="4">
        <v>44</v>
      </c>
    </row>
    <row r="178" spans="1:23" ht="11.25" customHeight="1" x14ac:dyDescent="0.25">
      <c r="A178" s="4" t="s">
        <v>21</v>
      </c>
      <c r="B178" s="4" t="s">
        <v>41</v>
      </c>
      <c r="C178" s="4" t="s">
        <v>23</v>
      </c>
      <c r="D178" s="4" t="s">
        <v>42</v>
      </c>
      <c r="E178" s="4" t="s">
        <v>25</v>
      </c>
      <c r="F178" s="4" t="s">
        <v>25</v>
      </c>
      <c r="G178" s="4" t="s">
        <v>25</v>
      </c>
      <c r="H178" s="4" t="s">
        <v>25</v>
      </c>
      <c r="I178" s="5">
        <v>44409</v>
      </c>
      <c r="J178" s="6">
        <v>0</v>
      </c>
      <c r="K178" s="6">
        <v>0</v>
      </c>
      <c r="L178" s="6">
        <v>59.506</v>
      </c>
      <c r="M178" s="6">
        <v>59.506</v>
      </c>
      <c r="N178" s="6">
        <v>59.506</v>
      </c>
      <c r="O178" s="6">
        <v>59.506</v>
      </c>
      <c r="P178" s="6">
        <v>41</v>
      </c>
      <c r="Q178" s="4" t="s">
        <v>26</v>
      </c>
      <c r="R178" s="4">
        <v>0</v>
      </c>
      <c r="S178" s="4" t="s">
        <v>211</v>
      </c>
      <c r="T178" s="4" t="s">
        <v>363</v>
      </c>
      <c r="U178" s="4">
        <v>0</v>
      </c>
      <c r="V178" s="4">
        <v>51</v>
      </c>
      <c r="W178" s="4">
        <v>44</v>
      </c>
    </row>
    <row r="179" spans="1:23" ht="11.25" customHeight="1" x14ac:dyDescent="0.25">
      <c r="A179" s="4" t="s">
        <v>21</v>
      </c>
      <c r="B179" s="4" t="s">
        <v>41</v>
      </c>
      <c r="C179" s="4" t="s">
        <v>23</v>
      </c>
      <c r="D179" s="4" t="s">
        <v>42</v>
      </c>
      <c r="E179" s="4" t="s">
        <v>25</v>
      </c>
      <c r="F179" s="4" t="s">
        <v>25</v>
      </c>
      <c r="G179" s="4" t="s">
        <v>25</v>
      </c>
      <c r="H179" s="4" t="s">
        <v>25</v>
      </c>
      <c r="I179" s="5">
        <v>44440</v>
      </c>
      <c r="J179" s="6">
        <v>0</v>
      </c>
      <c r="K179" s="6">
        <v>0</v>
      </c>
      <c r="L179" s="6">
        <v>56.250999999999998</v>
      </c>
      <c r="M179" s="6">
        <v>56.250999999999998</v>
      </c>
      <c r="N179" s="6">
        <v>56.250999999999998</v>
      </c>
      <c r="O179" s="6">
        <v>56.250999999999998</v>
      </c>
      <c r="P179" s="6">
        <v>42</v>
      </c>
      <c r="Q179" s="4" t="s">
        <v>26</v>
      </c>
      <c r="R179" s="4">
        <v>0</v>
      </c>
      <c r="S179" s="4" t="s">
        <v>212</v>
      </c>
      <c r="T179" s="4" t="s">
        <v>364</v>
      </c>
      <c r="U179" s="4">
        <v>0</v>
      </c>
      <c r="V179" s="4">
        <v>51</v>
      </c>
      <c r="W179" s="4">
        <v>44</v>
      </c>
    </row>
    <row r="180" spans="1:23" ht="11.25" customHeight="1" x14ac:dyDescent="0.25">
      <c r="A180" s="4" t="s">
        <v>21</v>
      </c>
      <c r="B180" s="4" t="s">
        <v>41</v>
      </c>
      <c r="C180" s="4" t="s">
        <v>23</v>
      </c>
      <c r="D180" s="4" t="s">
        <v>42</v>
      </c>
      <c r="E180" s="4" t="s">
        <v>25</v>
      </c>
      <c r="F180" s="4" t="s">
        <v>25</v>
      </c>
      <c r="G180" s="4" t="s">
        <v>25</v>
      </c>
      <c r="H180" s="4" t="s">
        <v>25</v>
      </c>
      <c r="I180" s="5">
        <v>44470</v>
      </c>
      <c r="J180" s="6">
        <v>0</v>
      </c>
      <c r="K180" s="6">
        <v>0</v>
      </c>
      <c r="L180" s="6">
        <v>56.595999999999997</v>
      </c>
      <c r="M180" s="6">
        <v>56.595999999999997</v>
      </c>
      <c r="N180" s="6">
        <v>56.595999999999997</v>
      </c>
      <c r="O180" s="6">
        <v>56.595999999999997</v>
      </c>
      <c r="P180" s="6">
        <v>42</v>
      </c>
      <c r="Q180" s="4" t="s">
        <v>26</v>
      </c>
      <c r="R180" s="4">
        <v>0</v>
      </c>
      <c r="S180" s="4" t="s">
        <v>213</v>
      </c>
      <c r="T180" s="4" t="s">
        <v>365</v>
      </c>
      <c r="U180" s="4">
        <v>0</v>
      </c>
      <c r="V180" s="4">
        <v>51</v>
      </c>
      <c r="W180" s="4">
        <v>44</v>
      </c>
    </row>
    <row r="181" spans="1:23" ht="11.25" customHeight="1" x14ac:dyDescent="0.25">
      <c r="A181" s="4" t="s">
        <v>21</v>
      </c>
      <c r="B181" s="4" t="s">
        <v>41</v>
      </c>
      <c r="C181" s="4" t="s">
        <v>23</v>
      </c>
      <c r="D181" s="4" t="s">
        <v>42</v>
      </c>
      <c r="E181" s="4" t="s">
        <v>25</v>
      </c>
      <c r="F181" s="4" t="s">
        <v>25</v>
      </c>
      <c r="G181" s="4" t="s">
        <v>25</v>
      </c>
      <c r="H181" s="4" t="s">
        <v>25</v>
      </c>
      <c r="I181" s="5">
        <v>44501</v>
      </c>
      <c r="J181" s="6">
        <v>0</v>
      </c>
      <c r="K181" s="6">
        <v>0</v>
      </c>
      <c r="L181" s="6">
        <v>53.649000000000001</v>
      </c>
      <c r="M181" s="6">
        <v>53.649000000000001</v>
      </c>
      <c r="N181" s="6">
        <v>53.649000000000001</v>
      </c>
      <c r="O181" s="6">
        <v>53.649000000000001</v>
      </c>
      <c r="P181" s="6">
        <v>42</v>
      </c>
      <c r="Q181" s="4" t="s">
        <v>26</v>
      </c>
      <c r="R181" s="4">
        <v>0</v>
      </c>
      <c r="S181" s="4" t="s">
        <v>214</v>
      </c>
      <c r="T181" s="4" t="s">
        <v>366</v>
      </c>
      <c r="U181" s="4">
        <v>0</v>
      </c>
      <c r="V181" s="4">
        <v>51</v>
      </c>
      <c r="W181" s="4">
        <v>44</v>
      </c>
    </row>
    <row r="182" spans="1:23" ht="11.25" customHeight="1" x14ac:dyDescent="0.25">
      <c r="A182" s="4" t="s">
        <v>21</v>
      </c>
      <c r="B182" s="4" t="s">
        <v>41</v>
      </c>
      <c r="C182" s="4" t="s">
        <v>23</v>
      </c>
      <c r="D182" s="4" t="s">
        <v>42</v>
      </c>
      <c r="E182" s="4" t="s">
        <v>25</v>
      </c>
      <c r="F182" s="4" t="s">
        <v>25</v>
      </c>
      <c r="G182" s="4" t="s">
        <v>25</v>
      </c>
      <c r="H182" s="4" t="s">
        <v>25</v>
      </c>
      <c r="I182" s="5">
        <v>44531</v>
      </c>
      <c r="J182" s="6">
        <v>0</v>
      </c>
      <c r="K182" s="6">
        <v>0</v>
      </c>
      <c r="L182" s="6">
        <v>56.908999999999999</v>
      </c>
      <c r="M182" s="6">
        <v>56.908999999999999</v>
      </c>
      <c r="N182" s="6">
        <v>56.908999999999999</v>
      </c>
      <c r="O182" s="6">
        <v>56.908999999999999</v>
      </c>
      <c r="P182" s="6">
        <v>42</v>
      </c>
      <c r="Q182" s="4" t="s">
        <v>26</v>
      </c>
      <c r="R182" s="4">
        <v>0</v>
      </c>
      <c r="S182" s="4" t="s">
        <v>215</v>
      </c>
      <c r="T182" s="4" t="s">
        <v>367</v>
      </c>
      <c r="U182" s="4">
        <v>0</v>
      </c>
      <c r="V182" s="4">
        <v>51</v>
      </c>
      <c r="W182" s="4">
        <v>44</v>
      </c>
    </row>
    <row r="183" spans="1:23" ht="11.25" customHeight="1" x14ac:dyDescent="0.25">
      <c r="A183" s="4" t="s">
        <v>21</v>
      </c>
      <c r="B183" s="4" t="s">
        <v>41</v>
      </c>
      <c r="C183" s="4" t="s">
        <v>23</v>
      </c>
      <c r="D183" s="4" t="s">
        <v>42</v>
      </c>
      <c r="E183" s="4" t="s">
        <v>25</v>
      </c>
      <c r="F183" s="4" t="s">
        <v>25</v>
      </c>
      <c r="G183" s="4" t="s">
        <v>25</v>
      </c>
      <c r="H183" s="4" t="s">
        <v>25</v>
      </c>
      <c r="I183" s="5">
        <v>44562</v>
      </c>
      <c r="J183" s="6">
        <v>0</v>
      </c>
      <c r="K183" s="6">
        <v>0</v>
      </c>
      <c r="L183" s="6">
        <v>59.033999999999999</v>
      </c>
      <c r="M183" s="6">
        <v>59.033999999999999</v>
      </c>
      <c r="N183" s="6">
        <v>59.033999999999999</v>
      </c>
      <c r="O183" s="6">
        <v>59.033999999999999</v>
      </c>
      <c r="P183" s="6">
        <v>38</v>
      </c>
      <c r="Q183" s="4" t="s">
        <v>26</v>
      </c>
      <c r="R183" s="4">
        <v>0</v>
      </c>
      <c r="S183" s="4" t="s">
        <v>216</v>
      </c>
      <c r="T183" s="4" t="s">
        <v>368</v>
      </c>
      <c r="U183" s="4">
        <v>0</v>
      </c>
      <c r="V183" s="4">
        <v>51</v>
      </c>
      <c r="W183" s="4">
        <v>44</v>
      </c>
    </row>
    <row r="184" spans="1:23" ht="11.25" customHeight="1" x14ac:dyDescent="0.25">
      <c r="A184" s="4" t="s">
        <v>21</v>
      </c>
      <c r="B184" s="4" t="s">
        <v>41</v>
      </c>
      <c r="C184" s="4" t="s">
        <v>23</v>
      </c>
      <c r="D184" s="4" t="s">
        <v>42</v>
      </c>
      <c r="E184" s="4" t="s">
        <v>25</v>
      </c>
      <c r="F184" s="4" t="s">
        <v>25</v>
      </c>
      <c r="G184" s="4" t="s">
        <v>25</v>
      </c>
      <c r="H184" s="4" t="s">
        <v>25</v>
      </c>
      <c r="I184" s="5">
        <v>44593</v>
      </c>
      <c r="J184" s="6">
        <v>0</v>
      </c>
      <c r="K184" s="6">
        <v>0</v>
      </c>
      <c r="L184" s="6">
        <v>61.593000000000004</v>
      </c>
      <c r="M184" s="6">
        <v>61.593000000000004</v>
      </c>
      <c r="N184" s="6">
        <v>61.593000000000004</v>
      </c>
      <c r="O184" s="6">
        <v>61.593000000000004</v>
      </c>
      <c r="P184" s="6">
        <v>37</v>
      </c>
      <c r="Q184" s="4" t="s">
        <v>26</v>
      </c>
      <c r="R184" s="4">
        <v>0</v>
      </c>
      <c r="S184" s="4" t="s">
        <v>217</v>
      </c>
      <c r="T184" s="4" t="s">
        <v>369</v>
      </c>
      <c r="U184" s="4">
        <v>0</v>
      </c>
      <c r="V184" s="4">
        <v>51</v>
      </c>
      <c r="W184" s="4">
        <v>44</v>
      </c>
    </row>
    <row r="185" spans="1:23" ht="11.25" customHeight="1" x14ac:dyDescent="0.25">
      <c r="A185" s="4" t="s">
        <v>28</v>
      </c>
      <c r="B185" s="4" t="s">
        <v>41</v>
      </c>
      <c r="C185" s="4" t="s">
        <v>23</v>
      </c>
      <c r="D185" s="4" t="s">
        <v>42</v>
      </c>
      <c r="E185" s="4" t="s">
        <v>25</v>
      </c>
      <c r="F185" s="4" t="s">
        <v>25</v>
      </c>
      <c r="G185" s="4" t="s">
        <v>25</v>
      </c>
      <c r="H185" s="4" t="s">
        <v>25</v>
      </c>
      <c r="I185" s="5">
        <v>44593</v>
      </c>
      <c r="J185" s="6">
        <v>0</v>
      </c>
      <c r="K185" s="6">
        <v>0</v>
      </c>
      <c r="L185" s="6">
        <v>0.122</v>
      </c>
      <c r="M185" s="6">
        <v>0.122</v>
      </c>
      <c r="N185" s="6">
        <v>0.122</v>
      </c>
      <c r="O185" s="6">
        <v>0.122</v>
      </c>
      <c r="P185" s="6">
        <v>1</v>
      </c>
      <c r="Q185" s="4" t="s">
        <v>26</v>
      </c>
      <c r="R185" s="4">
        <v>0</v>
      </c>
      <c r="S185" s="4" t="s">
        <v>217</v>
      </c>
      <c r="T185" s="4" t="s">
        <v>369</v>
      </c>
      <c r="U185" s="4">
        <v>0</v>
      </c>
      <c r="V185" s="4">
        <v>51</v>
      </c>
      <c r="W185" s="4">
        <v>44</v>
      </c>
    </row>
    <row r="186" spans="1:23" ht="11.25" customHeight="1" x14ac:dyDescent="0.25">
      <c r="A186" s="4" t="s">
        <v>21</v>
      </c>
      <c r="B186" s="4" t="s">
        <v>41</v>
      </c>
      <c r="C186" s="4" t="s">
        <v>23</v>
      </c>
      <c r="D186" s="4" t="s">
        <v>42</v>
      </c>
      <c r="E186" s="4" t="s">
        <v>25</v>
      </c>
      <c r="F186" s="4" t="s">
        <v>25</v>
      </c>
      <c r="G186" s="4" t="s">
        <v>25</v>
      </c>
      <c r="H186" s="4" t="s">
        <v>25</v>
      </c>
      <c r="I186" s="5">
        <v>44621</v>
      </c>
      <c r="J186" s="6">
        <v>0</v>
      </c>
      <c r="K186" s="6">
        <v>0</v>
      </c>
      <c r="L186" s="6">
        <v>53.148000000000003</v>
      </c>
      <c r="M186" s="6">
        <v>53.148000000000003</v>
      </c>
      <c r="N186" s="6">
        <v>53.148000000000003</v>
      </c>
      <c r="O186" s="6">
        <v>53.148000000000003</v>
      </c>
      <c r="P186" s="6">
        <v>36</v>
      </c>
      <c r="Q186" s="4" t="s">
        <v>26</v>
      </c>
      <c r="R186" s="4">
        <v>0</v>
      </c>
      <c r="S186" s="4" t="s">
        <v>218</v>
      </c>
      <c r="T186" s="4" t="s">
        <v>370</v>
      </c>
      <c r="U186" s="4">
        <v>0</v>
      </c>
      <c r="V186" s="4">
        <v>51</v>
      </c>
      <c r="W186" s="4">
        <v>44</v>
      </c>
    </row>
    <row r="187" spans="1:23" ht="11.25" customHeight="1" x14ac:dyDescent="0.25">
      <c r="A187" s="4" t="s">
        <v>28</v>
      </c>
      <c r="B187" s="4" t="s">
        <v>41</v>
      </c>
      <c r="C187" s="4" t="s">
        <v>23</v>
      </c>
      <c r="D187" s="4" t="s">
        <v>42</v>
      </c>
      <c r="E187" s="4" t="s">
        <v>25</v>
      </c>
      <c r="F187" s="4" t="s">
        <v>25</v>
      </c>
      <c r="G187" s="4" t="s">
        <v>25</v>
      </c>
      <c r="H187" s="4" t="s">
        <v>25</v>
      </c>
      <c r="I187" s="5">
        <v>44621</v>
      </c>
      <c r="J187" s="6">
        <v>0</v>
      </c>
      <c r="K187" s="6">
        <v>0</v>
      </c>
      <c r="L187" s="6">
        <v>0.35099999999999998</v>
      </c>
      <c r="M187" s="6">
        <v>0.35099999999999998</v>
      </c>
      <c r="N187" s="6">
        <v>0.35099999999999998</v>
      </c>
      <c r="O187" s="6">
        <v>0.35099999999999998</v>
      </c>
      <c r="P187" s="6">
        <v>2</v>
      </c>
      <c r="Q187" s="4" t="s">
        <v>26</v>
      </c>
      <c r="R187" s="4">
        <v>0</v>
      </c>
      <c r="S187" s="4" t="s">
        <v>218</v>
      </c>
      <c r="T187" s="4" t="s">
        <v>370</v>
      </c>
      <c r="U187" s="4">
        <v>0</v>
      </c>
      <c r="V187" s="4">
        <v>51</v>
      </c>
      <c r="W187" s="4">
        <v>44</v>
      </c>
    </row>
    <row r="188" spans="1:23" ht="11.25" customHeight="1" x14ac:dyDescent="0.25">
      <c r="A188" s="4" t="s">
        <v>21</v>
      </c>
      <c r="B188" s="4" t="s">
        <v>41</v>
      </c>
      <c r="C188" s="4" t="s">
        <v>23</v>
      </c>
      <c r="D188" s="4" t="s">
        <v>42</v>
      </c>
      <c r="E188" s="4" t="s">
        <v>25</v>
      </c>
      <c r="F188" s="4" t="s">
        <v>25</v>
      </c>
      <c r="G188" s="4" t="s">
        <v>25</v>
      </c>
      <c r="H188" s="4" t="s">
        <v>25</v>
      </c>
      <c r="I188" s="5">
        <v>44652</v>
      </c>
      <c r="J188" s="6">
        <v>0</v>
      </c>
      <c r="K188" s="6">
        <v>0</v>
      </c>
      <c r="L188" s="6">
        <v>53.484000000000002</v>
      </c>
      <c r="M188" s="6">
        <v>53.484000000000002</v>
      </c>
      <c r="N188" s="6">
        <v>53.484000000000002</v>
      </c>
      <c r="O188" s="6">
        <v>53.484000000000002</v>
      </c>
      <c r="P188" s="6">
        <v>36</v>
      </c>
      <c r="Q188" s="4" t="s">
        <v>26</v>
      </c>
      <c r="R188" s="4">
        <v>0</v>
      </c>
      <c r="S188" s="4" t="s">
        <v>219</v>
      </c>
      <c r="T188" s="4" t="s">
        <v>371</v>
      </c>
      <c r="U188" s="4">
        <v>0</v>
      </c>
      <c r="V188" s="4">
        <v>51</v>
      </c>
      <c r="W188" s="4">
        <v>44</v>
      </c>
    </row>
    <row r="189" spans="1:23" ht="11.25" customHeight="1" x14ac:dyDescent="0.25">
      <c r="A189" s="4" t="s">
        <v>28</v>
      </c>
      <c r="B189" s="4" t="s">
        <v>41</v>
      </c>
      <c r="C189" s="4" t="s">
        <v>23</v>
      </c>
      <c r="D189" s="4" t="s">
        <v>42</v>
      </c>
      <c r="E189" s="4" t="s">
        <v>25</v>
      </c>
      <c r="F189" s="4" t="s">
        <v>25</v>
      </c>
      <c r="G189" s="4" t="s">
        <v>25</v>
      </c>
      <c r="H189" s="4" t="s">
        <v>25</v>
      </c>
      <c r="I189" s="5">
        <v>44652</v>
      </c>
      <c r="J189" s="6">
        <v>0</v>
      </c>
      <c r="K189" s="6">
        <v>0</v>
      </c>
      <c r="L189" s="6">
        <v>0.42</v>
      </c>
      <c r="M189" s="6">
        <v>0.42</v>
      </c>
      <c r="N189" s="6">
        <v>0.42</v>
      </c>
      <c r="O189" s="6">
        <v>0.42</v>
      </c>
      <c r="P189" s="6">
        <v>2</v>
      </c>
      <c r="Q189" s="4" t="s">
        <v>26</v>
      </c>
      <c r="R189" s="4">
        <v>0</v>
      </c>
      <c r="S189" s="4" t="s">
        <v>219</v>
      </c>
      <c r="T189" s="4" t="s">
        <v>371</v>
      </c>
      <c r="U189" s="4">
        <v>0</v>
      </c>
      <c r="V189" s="4">
        <v>51</v>
      </c>
      <c r="W189" s="4">
        <v>44</v>
      </c>
    </row>
    <row r="190" spans="1:23" ht="11.25" customHeight="1" x14ac:dyDescent="0.25">
      <c r="A190" s="4" t="s">
        <v>21</v>
      </c>
      <c r="B190" s="4" t="s">
        <v>41</v>
      </c>
      <c r="C190" s="4" t="s">
        <v>23</v>
      </c>
      <c r="D190" s="4" t="s">
        <v>42</v>
      </c>
      <c r="E190" s="4" t="s">
        <v>25</v>
      </c>
      <c r="F190" s="4" t="s">
        <v>25</v>
      </c>
      <c r="G190" s="4" t="s">
        <v>25</v>
      </c>
      <c r="H190" s="4" t="s">
        <v>25</v>
      </c>
      <c r="I190" s="5">
        <v>44682</v>
      </c>
      <c r="J190" s="6">
        <v>0</v>
      </c>
      <c r="K190" s="6">
        <v>0</v>
      </c>
      <c r="L190" s="6">
        <v>53.984999999999999</v>
      </c>
      <c r="M190" s="6">
        <v>53.984999999999999</v>
      </c>
      <c r="N190" s="6">
        <v>53.984999999999999</v>
      </c>
      <c r="O190" s="6">
        <v>53.984999999999999</v>
      </c>
      <c r="P190" s="6">
        <v>35</v>
      </c>
      <c r="Q190" s="4" t="s">
        <v>26</v>
      </c>
      <c r="R190" s="4">
        <v>0</v>
      </c>
      <c r="S190" s="4" t="s">
        <v>220</v>
      </c>
      <c r="T190" s="4" t="s">
        <v>372</v>
      </c>
      <c r="U190" s="4">
        <v>0</v>
      </c>
      <c r="V190" s="4">
        <v>51</v>
      </c>
      <c r="W190" s="4">
        <v>44</v>
      </c>
    </row>
    <row r="191" spans="1:23" ht="11.25" customHeight="1" x14ac:dyDescent="0.25">
      <c r="A191" s="4" t="s">
        <v>28</v>
      </c>
      <c r="B191" s="4" t="s">
        <v>41</v>
      </c>
      <c r="C191" s="4" t="s">
        <v>23</v>
      </c>
      <c r="D191" s="4" t="s">
        <v>42</v>
      </c>
      <c r="E191" s="4" t="s">
        <v>25</v>
      </c>
      <c r="F191" s="4" t="s">
        <v>25</v>
      </c>
      <c r="G191" s="4" t="s">
        <v>25</v>
      </c>
      <c r="H191" s="4" t="s">
        <v>25</v>
      </c>
      <c r="I191" s="5">
        <v>44682</v>
      </c>
      <c r="J191" s="6">
        <v>0</v>
      </c>
      <c r="K191" s="6">
        <v>0</v>
      </c>
      <c r="L191" s="6">
        <v>0.63</v>
      </c>
      <c r="M191" s="6">
        <v>0.63</v>
      </c>
      <c r="N191" s="6">
        <v>0.63</v>
      </c>
      <c r="O191" s="6">
        <v>0.63</v>
      </c>
      <c r="P191" s="6">
        <v>3</v>
      </c>
      <c r="Q191" s="4" t="s">
        <v>26</v>
      </c>
      <c r="R191" s="4">
        <v>0</v>
      </c>
      <c r="S191" s="4" t="s">
        <v>220</v>
      </c>
      <c r="T191" s="4" t="s">
        <v>372</v>
      </c>
      <c r="U191" s="4">
        <v>0</v>
      </c>
      <c r="V191" s="4">
        <v>51</v>
      </c>
      <c r="W191" s="4">
        <v>44</v>
      </c>
    </row>
    <row r="192" spans="1:23" ht="11.25" customHeight="1" x14ac:dyDescent="0.25">
      <c r="A192" s="4" t="s">
        <v>21</v>
      </c>
      <c r="B192" s="4" t="s">
        <v>41</v>
      </c>
      <c r="C192" s="4" t="s">
        <v>23</v>
      </c>
      <c r="D192" s="4" t="s">
        <v>42</v>
      </c>
      <c r="E192" s="4" t="s">
        <v>25</v>
      </c>
      <c r="F192" s="4" t="s">
        <v>25</v>
      </c>
      <c r="G192" s="4" t="s">
        <v>25</v>
      </c>
      <c r="H192" s="4" t="s">
        <v>25</v>
      </c>
      <c r="I192" s="5">
        <v>44713</v>
      </c>
      <c r="J192" s="6">
        <v>0</v>
      </c>
      <c r="K192" s="6">
        <v>0</v>
      </c>
      <c r="L192" s="6">
        <v>54.271000000000001</v>
      </c>
      <c r="M192" s="6">
        <v>54.271000000000001</v>
      </c>
      <c r="N192" s="6">
        <v>54.271000000000001</v>
      </c>
      <c r="O192" s="6">
        <v>54.271000000000001</v>
      </c>
      <c r="P192" s="6">
        <v>35</v>
      </c>
      <c r="Q192" s="4" t="s">
        <v>26</v>
      </c>
      <c r="R192" s="4">
        <v>0</v>
      </c>
      <c r="S192" s="4" t="s">
        <v>221</v>
      </c>
      <c r="T192" s="4" t="s">
        <v>373</v>
      </c>
      <c r="U192" s="4">
        <v>0</v>
      </c>
      <c r="V192" s="4">
        <v>51</v>
      </c>
      <c r="W192" s="4">
        <v>44</v>
      </c>
    </row>
    <row r="193" spans="1:23" ht="11.25" customHeight="1" x14ac:dyDescent="0.25">
      <c r="A193" s="4" t="s">
        <v>28</v>
      </c>
      <c r="B193" s="4" t="s">
        <v>41</v>
      </c>
      <c r="C193" s="4" t="s">
        <v>23</v>
      </c>
      <c r="D193" s="4" t="s">
        <v>42</v>
      </c>
      <c r="E193" s="4" t="s">
        <v>25</v>
      </c>
      <c r="F193" s="4" t="s">
        <v>25</v>
      </c>
      <c r="G193" s="4" t="s">
        <v>25</v>
      </c>
      <c r="H193" s="4" t="s">
        <v>25</v>
      </c>
      <c r="I193" s="5">
        <v>44713</v>
      </c>
      <c r="J193" s="6">
        <v>0</v>
      </c>
      <c r="K193" s="6">
        <v>0</v>
      </c>
      <c r="L193" s="6">
        <v>0.56699999999999995</v>
      </c>
      <c r="M193" s="6">
        <v>0.56699999999999995</v>
      </c>
      <c r="N193" s="6">
        <v>0.56699999999999995</v>
      </c>
      <c r="O193" s="6">
        <v>0.56699999999999995</v>
      </c>
      <c r="P193" s="6">
        <v>3</v>
      </c>
      <c r="Q193" s="4" t="s">
        <v>26</v>
      </c>
      <c r="R193" s="4">
        <v>0</v>
      </c>
      <c r="S193" s="4" t="s">
        <v>221</v>
      </c>
      <c r="T193" s="4" t="s">
        <v>373</v>
      </c>
      <c r="U193" s="4">
        <v>0</v>
      </c>
      <c r="V193" s="4">
        <v>51</v>
      </c>
      <c r="W193" s="4">
        <v>44</v>
      </c>
    </row>
    <row r="194" spans="1:23" ht="11.25" customHeight="1" x14ac:dyDescent="0.25">
      <c r="A194" s="4" t="s">
        <v>21</v>
      </c>
      <c r="B194" s="4" t="s">
        <v>37</v>
      </c>
      <c r="C194" s="4" t="s">
        <v>23</v>
      </c>
      <c r="D194" s="4" t="s">
        <v>38</v>
      </c>
      <c r="E194" s="4" t="s">
        <v>25</v>
      </c>
      <c r="F194" s="4" t="s">
        <v>25</v>
      </c>
      <c r="G194" s="4" t="s">
        <v>25</v>
      </c>
      <c r="H194" s="4" t="s">
        <v>25</v>
      </c>
      <c r="I194" s="5">
        <v>44378</v>
      </c>
      <c r="J194" s="6">
        <v>0</v>
      </c>
      <c r="K194" s="6">
        <v>0</v>
      </c>
      <c r="L194" s="6">
        <v>99.745999999999995</v>
      </c>
      <c r="M194" s="6">
        <v>99.745999999999995</v>
      </c>
      <c r="N194" s="6">
        <v>99.745999999999995</v>
      </c>
      <c r="O194" s="6">
        <v>99.745999999999995</v>
      </c>
      <c r="P194" s="6">
        <v>88</v>
      </c>
      <c r="Q194" s="4" t="s">
        <v>26</v>
      </c>
      <c r="R194" s="4">
        <v>0</v>
      </c>
      <c r="S194" s="4" t="s">
        <v>222</v>
      </c>
      <c r="T194" s="4" t="s">
        <v>374</v>
      </c>
      <c r="U194" s="4">
        <v>0</v>
      </c>
      <c r="V194" s="4">
        <v>40</v>
      </c>
      <c r="W194" s="4">
        <v>83</v>
      </c>
    </row>
    <row r="195" spans="1:23" ht="11.25" customHeight="1" x14ac:dyDescent="0.25">
      <c r="A195" s="4" t="s">
        <v>21</v>
      </c>
      <c r="B195" s="4" t="s">
        <v>37</v>
      </c>
      <c r="C195" s="4" t="s">
        <v>23</v>
      </c>
      <c r="D195" s="4" t="s">
        <v>38</v>
      </c>
      <c r="E195" s="4" t="s">
        <v>25</v>
      </c>
      <c r="F195" s="4" t="s">
        <v>25</v>
      </c>
      <c r="G195" s="4" t="s">
        <v>25</v>
      </c>
      <c r="H195" s="4" t="s">
        <v>25</v>
      </c>
      <c r="I195" s="5">
        <v>44409</v>
      </c>
      <c r="J195" s="6">
        <v>0</v>
      </c>
      <c r="K195" s="6">
        <v>0</v>
      </c>
      <c r="L195" s="6">
        <v>122.646</v>
      </c>
      <c r="M195" s="6">
        <v>122.646</v>
      </c>
      <c r="N195" s="6">
        <v>122.646</v>
      </c>
      <c r="O195" s="6">
        <v>122.646</v>
      </c>
      <c r="P195" s="6">
        <v>88</v>
      </c>
      <c r="Q195" s="4" t="s">
        <v>26</v>
      </c>
      <c r="R195" s="4">
        <v>0</v>
      </c>
      <c r="S195" s="4" t="s">
        <v>223</v>
      </c>
      <c r="T195" s="4" t="s">
        <v>375</v>
      </c>
      <c r="U195" s="4">
        <v>0</v>
      </c>
      <c r="V195" s="4">
        <v>40</v>
      </c>
      <c r="W195" s="4">
        <v>83</v>
      </c>
    </row>
    <row r="196" spans="1:23" ht="11.25" customHeight="1" x14ac:dyDescent="0.25">
      <c r="A196" s="4" t="s">
        <v>21</v>
      </c>
      <c r="B196" s="4" t="s">
        <v>37</v>
      </c>
      <c r="C196" s="4" t="s">
        <v>23</v>
      </c>
      <c r="D196" s="4" t="s">
        <v>38</v>
      </c>
      <c r="E196" s="4" t="s">
        <v>25</v>
      </c>
      <c r="F196" s="4" t="s">
        <v>25</v>
      </c>
      <c r="G196" s="4" t="s">
        <v>25</v>
      </c>
      <c r="H196" s="4" t="s">
        <v>25</v>
      </c>
      <c r="I196" s="5">
        <v>44440</v>
      </c>
      <c r="J196" s="6">
        <v>0</v>
      </c>
      <c r="K196" s="6">
        <v>0</v>
      </c>
      <c r="L196" s="6">
        <v>134.47900000000001</v>
      </c>
      <c r="M196" s="6">
        <v>134.47900000000001</v>
      </c>
      <c r="N196" s="6">
        <v>134.47900000000001</v>
      </c>
      <c r="O196" s="6">
        <v>134.47900000000001</v>
      </c>
      <c r="P196" s="6">
        <v>88</v>
      </c>
      <c r="Q196" s="4" t="s">
        <v>26</v>
      </c>
      <c r="R196" s="4">
        <v>0</v>
      </c>
      <c r="S196" s="4" t="s">
        <v>224</v>
      </c>
      <c r="T196" s="4" t="s">
        <v>376</v>
      </c>
      <c r="U196" s="4">
        <v>0</v>
      </c>
      <c r="V196" s="4">
        <v>40</v>
      </c>
      <c r="W196" s="4">
        <v>83</v>
      </c>
    </row>
    <row r="197" spans="1:23" ht="11.25" customHeight="1" x14ac:dyDescent="0.25">
      <c r="A197" s="4" t="s">
        <v>21</v>
      </c>
      <c r="B197" s="4" t="s">
        <v>37</v>
      </c>
      <c r="C197" s="4" t="s">
        <v>23</v>
      </c>
      <c r="D197" s="4" t="s">
        <v>38</v>
      </c>
      <c r="E197" s="4" t="s">
        <v>25</v>
      </c>
      <c r="F197" s="4" t="s">
        <v>25</v>
      </c>
      <c r="G197" s="4" t="s">
        <v>25</v>
      </c>
      <c r="H197" s="4" t="s">
        <v>25</v>
      </c>
      <c r="I197" s="5">
        <v>44470</v>
      </c>
      <c r="J197" s="6">
        <v>0</v>
      </c>
      <c r="K197" s="6">
        <v>0</v>
      </c>
      <c r="L197" s="6">
        <v>128.13</v>
      </c>
      <c r="M197" s="6">
        <v>128.13</v>
      </c>
      <c r="N197" s="6">
        <v>128.13</v>
      </c>
      <c r="O197" s="6">
        <v>128.13</v>
      </c>
      <c r="P197" s="6">
        <v>88</v>
      </c>
      <c r="Q197" s="4" t="s">
        <v>26</v>
      </c>
      <c r="R197" s="4">
        <v>0</v>
      </c>
      <c r="S197" s="4" t="s">
        <v>225</v>
      </c>
      <c r="T197" s="4" t="s">
        <v>377</v>
      </c>
      <c r="U197" s="4">
        <v>0</v>
      </c>
      <c r="V197" s="4">
        <v>40</v>
      </c>
      <c r="W197" s="4">
        <v>83</v>
      </c>
    </row>
    <row r="198" spans="1:23" ht="11.25" customHeight="1" x14ac:dyDescent="0.25">
      <c r="A198" s="4" t="s">
        <v>21</v>
      </c>
      <c r="B198" s="4" t="s">
        <v>37</v>
      </c>
      <c r="C198" s="4" t="s">
        <v>23</v>
      </c>
      <c r="D198" s="4" t="s">
        <v>38</v>
      </c>
      <c r="E198" s="4" t="s">
        <v>25</v>
      </c>
      <c r="F198" s="4" t="s">
        <v>25</v>
      </c>
      <c r="G198" s="4" t="s">
        <v>25</v>
      </c>
      <c r="H198" s="4" t="s">
        <v>25</v>
      </c>
      <c r="I198" s="5">
        <v>44501</v>
      </c>
      <c r="J198" s="6">
        <v>0</v>
      </c>
      <c r="K198" s="6">
        <v>0</v>
      </c>
      <c r="L198" s="6">
        <v>96.647000000000006</v>
      </c>
      <c r="M198" s="6">
        <v>96.647000000000006</v>
      </c>
      <c r="N198" s="6">
        <v>96.647000000000006</v>
      </c>
      <c r="O198" s="6">
        <v>96.647000000000006</v>
      </c>
      <c r="P198" s="6">
        <v>86</v>
      </c>
      <c r="Q198" s="4" t="s">
        <v>26</v>
      </c>
      <c r="R198" s="4">
        <v>0</v>
      </c>
      <c r="S198" s="4" t="s">
        <v>226</v>
      </c>
      <c r="T198" s="4" t="s">
        <v>378</v>
      </c>
      <c r="U198" s="4">
        <v>0</v>
      </c>
      <c r="V198" s="4">
        <v>40</v>
      </c>
      <c r="W198" s="4">
        <v>83</v>
      </c>
    </row>
    <row r="199" spans="1:23" ht="11.25" customHeight="1" x14ac:dyDescent="0.25">
      <c r="A199" s="4" t="s">
        <v>21</v>
      </c>
      <c r="B199" s="4" t="s">
        <v>37</v>
      </c>
      <c r="C199" s="4" t="s">
        <v>23</v>
      </c>
      <c r="D199" s="4" t="s">
        <v>38</v>
      </c>
      <c r="E199" s="4" t="s">
        <v>25</v>
      </c>
      <c r="F199" s="4" t="s">
        <v>25</v>
      </c>
      <c r="G199" s="4" t="s">
        <v>25</v>
      </c>
      <c r="H199" s="4" t="s">
        <v>25</v>
      </c>
      <c r="I199" s="5">
        <v>44531</v>
      </c>
      <c r="J199" s="6">
        <v>0</v>
      </c>
      <c r="K199" s="6">
        <v>0</v>
      </c>
      <c r="L199" s="6">
        <v>93.451999999999998</v>
      </c>
      <c r="M199" s="6">
        <v>93.451999999999998</v>
      </c>
      <c r="N199" s="6">
        <v>93.451999999999998</v>
      </c>
      <c r="O199" s="6">
        <v>93.451999999999998</v>
      </c>
      <c r="P199" s="6">
        <v>86</v>
      </c>
      <c r="Q199" s="4" t="s">
        <v>26</v>
      </c>
      <c r="R199" s="4">
        <v>0</v>
      </c>
      <c r="S199" s="4" t="s">
        <v>227</v>
      </c>
      <c r="T199" s="4" t="s">
        <v>379</v>
      </c>
      <c r="U199" s="4">
        <v>0</v>
      </c>
      <c r="V199" s="4">
        <v>40</v>
      </c>
      <c r="W199" s="4">
        <v>83</v>
      </c>
    </row>
    <row r="200" spans="1:23" ht="11.25" customHeight="1" x14ac:dyDescent="0.25">
      <c r="A200" s="4" t="s">
        <v>21</v>
      </c>
      <c r="B200" s="4" t="s">
        <v>37</v>
      </c>
      <c r="C200" s="4" t="s">
        <v>23</v>
      </c>
      <c r="D200" s="4" t="s">
        <v>38</v>
      </c>
      <c r="E200" s="4" t="s">
        <v>25</v>
      </c>
      <c r="F200" s="4" t="s">
        <v>25</v>
      </c>
      <c r="G200" s="4" t="s">
        <v>25</v>
      </c>
      <c r="H200" s="4" t="s">
        <v>25</v>
      </c>
      <c r="I200" s="5">
        <v>44562</v>
      </c>
      <c r="J200" s="6">
        <v>0</v>
      </c>
      <c r="K200" s="6">
        <v>0</v>
      </c>
      <c r="L200" s="6">
        <v>87.777000000000001</v>
      </c>
      <c r="M200" s="6">
        <v>87.777000000000001</v>
      </c>
      <c r="N200" s="6">
        <v>87.777000000000001</v>
      </c>
      <c r="O200" s="6">
        <v>87.777000000000001</v>
      </c>
      <c r="P200" s="6">
        <v>87</v>
      </c>
      <c r="Q200" s="4" t="s">
        <v>26</v>
      </c>
      <c r="R200" s="4">
        <v>0</v>
      </c>
      <c r="S200" s="4" t="s">
        <v>228</v>
      </c>
      <c r="T200" s="4" t="s">
        <v>380</v>
      </c>
      <c r="U200" s="4">
        <v>0</v>
      </c>
      <c r="V200" s="4">
        <v>40</v>
      </c>
      <c r="W200" s="4">
        <v>83</v>
      </c>
    </row>
    <row r="201" spans="1:23" ht="11.25" customHeight="1" x14ac:dyDescent="0.25">
      <c r="A201" s="4" t="s">
        <v>21</v>
      </c>
      <c r="B201" s="4" t="s">
        <v>37</v>
      </c>
      <c r="C201" s="4" t="s">
        <v>23</v>
      </c>
      <c r="D201" s="4" t="s">
        <v>38</v>
      </c>
      <c r="E201" s="4" t="s">
        <v>25</v>
      </c>
      <c r="F201" s="4" t="s">
        <v>25</v>
      </c>
      <c r="G201" s="4" t="s">
        <v>25</v>
      </c>
      <c r="H201" s="4" t="s">
        <v>25</v>
      </c>
      <c r="I201" s="5">
        <v>44593</v>
      </c>
      <c r="J201" s="6">
        <v>0</v>
      </c>
      <c r="K201" s="6">
        <v>0</v>
      </c>
      <c r="L201" s="6">
        <v>99.113</v>
      </c>
      <c r="M201" s="6">
        <v>99.113</v>
      </c>
      <c r="N201" s="6">
        <v>99.113</v>
      </c>
      <c r="O201" s="6">
        <v>99.113</v>
      </c>
      <c r="P201" s="6">
        <v>86</v>
      </c>
      <c r="Q201" s="4" t="s">
        <v>26</v>
      </c>
      <c r="R201" s="4">
        <v>0</v>
      </c>
      <c r="S201" s="4" t="s">
        <v>229</v>
      </c>
      <c r="T201" s="4" t="s">
        <v>381</v>
      </c>
      <c r="U201" s="4">
        <v>0</v>
      </c>
      <c r="V201" s="4">
        <v>40</v>
      </c>
      <c r="W201" s="4">
        <v>83</v>
      </c>
    </row>
    <row r="202" spans="1:23" ht="11.25" customHeight="1" x14ac:dyDescent="0.25">
      <c r="A202" s="4" t="s">
        <v>21</v>
      </c>
      <c r="B202" s="4" t="s">
        <v>37</v>
      </c>
      <c r="C202" s="4" t="s">
        <v>23</v>
      </c>
      <c r="D202" s="4" t="s">
        <v>38</v>
      </c>
      <c r="E202" s="4" t="s">
        <v>25</v>
      </c>
      <c r="F202" s="4" t="s">
        <v>25</v>
      </c>
      <c r="G202" s="4" t="s">
        <v>25</v>
      </c>
      <c r="H202" s="4" t="s">
        <v>25</v>
      </c>
      <c r="I202" s="5">
        <v>44621</v>
      </c>
      <c r="J202" s="6">
        <v>0</v>
      </c>
      <c r="K202" s="6">
        <v>0</v>
      </c>
      <c r="L202" s="6">
        <v>105.268</v>
      </c>
      <c r="M202" s="6">
        <v>105.268</v>
      </c>
      <c r="N202" s="6">
        <v>105.268</v>
      </c>
      <c r="O202" s="6">
        <v>105.268</v>
      </c>
      <c r="P202" s="6">
        <v>86</v>
      </c>
      <c r="Q202" s="4" t="s">
        <v>26</v>
      </c>
      <c r="R202" s="4">
        <v>0</v>
      </c>
      <c r="S202" s="4" t="s">
        <v>230</v>
      </c>
      <c r="T202" s="4" t="s">
        <v>382</v>
      </c>
      <c r="U202" s="4">
        <v>0</v>
      </c>
      <c r="V202" s="4">
        <v>40</v>
      </c>
      <c r="W202" s="4">
        <v>83</v>
      </c>
    </row>
    <row r="203" spans="1:23" ht="11.25" customHeight="1" x14ac:dyDescent="0.25">
      <c r="A203" s="4" t="s">
        <v>21</v>
      </c>
      <c r="B203" s="4" t="s">
        <v>37</v>
      </c>
      <c r="C203" s="4" t="s">
        <v>23</v>
      </c>
      <c r="D203" s="4" t="s">
        <v>38</v>
      </c>
      <c r="E203" s="4" t="s">
        <v>25</v>
      </c>
      <c r="F203" s="4" t="s">
        <v>25</v>
      </c>
      <c r="G203" s="4" t="s">
        <v>25</v>
      </c>
      <c r="H203" s="4" t="s">
        <v>25</v>
      </c>
      <c r="I203" s="5">
        <v>44652</v>
      </c>
      <c r="J203" s="6">
        <v>0</v>
      </c>
      <c r="K203" s="6">
        <v>0</v>
      </c>
      <c r="L203" s="6">
        <v>101.986</v>
      </c>
      <c r="M203" s="6">
        <v>101.986</v>
      </c>
      <c r="N203" s="6">
        <v>101.986</v>
      </c>
      <c r="O203" s="6">
        <v>101.986</v>
      </c>
      <c r="P203" s="6">
        <v>85</v>
      </c>
      <c r="Q203" s="4" t="s">
        <v>26</v>
      </c>
      <c r="R203" s="4">
        <v>0</v>
      </c>
      <c r="S203" s="4" t="s">
        <v>231</v>
      </c>
      <c r="T203" s="4" t="s">
        <v>383</v>
      </c>
      <c r="U203" s="4">
        <v>0</v>
      </c>
      <c r="V203" s="4">
        <v>40</v>
      </c>
      <c r="W203" s="4">
        <v>83</v>
      </c>
    </row>
    <row r="204" spans="1:23" ht="11.25" customHeight="1" x14ac:dyDescent="0.25">
      <c r="A204" s="4" t="s">
        <v>21</v>
      </c>
      <c r="B204" s="4" t="s">
        <v>37</v>
      </c>
      <c r="C204" s="4" t="s">
        <v>23</v>
      </c>
      <c r="D204" s="4" t="s">
        <v>38</v>
      </c>
      <c r="E204" s="4" t="s">
        <v>25</v>
      </c>
      <c r="F204" s="4" t="s">
        <v>25</v>
      </c>
      <c r="G204" s="4" t="s">
        <v>25</v>
      </c>
      <c r="H204" s="4" t="s">
        <v>25</v>
      </c>
      <c r="I204" s="5">
        <v>44682</v>
      </c>
      <c r="J204" s="6">
        <v>0</v>
      </c>
      <c r="K204" s="6">
        <v>0</v>
      </c>
      <c r="L204" s="6">
        <v>102.489</v>
      </c>
      <c r="M204" s="6">
        <v>102.489</v>
      </c>
      <c r="N204" s="6">
        <v>102.489</v>
      </c>
      <c r="O204" s="6">
        <v>102.489</v>
      </c>
      <c r="P204" s="6">
        <v>85</v>
      </c>
      <c r="Q204" s="4" t="s">
        <v>26</v>
      </c>
      <c r="R204" s="4">
        <v>0</v>
      </c>
      <c r="S204" s="4" t="s">
        <v>232</v>
      </c>
      <c r="T204" s="4" t="s">
        <v>384</v>
      </c>
      <c r="U204" s="4">
        <v>0</v>
      </c>
      <c r="V204" s="4">
        <v>40</v>
      </c>
      <c r="W204" s="4">
        <v>83</v>
      </c>
    </row>
    <row r="205" spans="1:23" ht="11.25" customHeight="1" x14ac:dyDescent="0.25">
      <c r="A205" s="4" t="s">
        <v>21</v>
      </c>
      <c r="B205" s="4" t="s">
        <v>37</v>
      </c>
      <c r="C205" s="4" t="s">
        <v>23</v>
      </c>
      <c r="D205" s="4" t="s">
        <v>38</v>
      </c>
      <c r="E205" s="4" t="s">
        <v>25</v>
      </c>
      <c r="F205" s="4" t="s">
        <v>25</v>
      </c>
      <c r="G205" s="4" t="s">
        <v>25</v>
      </c>
      <c r="H205" s="4" t="s">
        <v>25</v>
      </c>
      <c r="I205" s="5">
        <v>44713</v>
      </c>
      <c r="J205" s="6">
        <v>0</v>
      </c>
      <c r="K205" s="6">
        <v>0</v>
      </c>
      <c r="L205" s="6">
        <v>96.046999999999997</v>
      </c>
      <c r="M205" s="6">
        <v>96.046999999999997</v>
      </c>
      <c r="N205" s="6">
        <v>96.046999999999997</v>
      </c>
      <c r="O205" s="6">
        <v>96.046999999999997</v>
      </c>
      <c r="P205" s="6">
        <v>85</v>
      </c>
      <c r="Q205" s="4" t="s">
        <v>26</v>
      </c>
      <c r="R205" s="4">
        <v>0</v>
      </c>
      <c r="S205" s="4" t="s">
        <v>233</v>
      </c>
      <c r="T205" s="4" t="s">
        <v>385</v>
      </c>
      <c r="U205" s="4">
        <v>0</v>
      </c>
      <c r="V205" s="4">
        <v>40</v>
      </c>
      <c r="W205" s="4">
        <v>83</v>
      </c>
    </row>
    <row r="206" spans="1:23" ht="11.25" customHeight="1" x14ac:dyDescent="0.25">
      <c r="A206" s="4" t="s">
        <v>21</v>
      </c>
      <c r="B206" s="4" t="s">
        <v>37</v>
      </c>
      <c r="C206" s="4" t="s">
        <v>23</v>
      </c>
      <c r="D206" s="4" t="s">
        <v>43</v>
      </c>
      <c r="E206" s="4" t="s">
        <v>25</v>
      </c>
      <c r="F206" s="4" t="s">
        <v>25</v>
      </c>
      <c r="G206" s="4" t="s">
        <v>25</v>
      </c>
      <c r="H206" s="4" t="s">
        <v>25</v>
      </c>
      <c r="I206" s="5">
        <v>44378</v>
      </c>
      <c r="J206" s="6">
        <v>0</v>
      </c>
      <c r="K206" s="6">
        <v>0</v>
      </c>
      <c r="L206" s="6">
        <v>5.0599999999999996</v>
      </c>
      <c r="M206" s="6">
        <v>5.0599999999999996</v>
      </c>
      <c r="N206" s="6">
        <v>5.0599999999999996</v>
      </c>
      <c r="O206" s="6">
        <v>5.0599999999999996</v>
      </c>
      <c r="P206" s="6">
        <v>18</v>
      </c>
      <c r="Q206" s="4" t="s">
        <v>26</v>
      </c>
      <c r="R206" s="4">
        <v>0</v>
      </c>
      <c r="S206" s="4" t="s">
        <v>222</v>
      </c>
      <c r="T206" s="4" t="s">
        <v>374</v>
      </c>
      <c r="U206" s="4">
        <v>0</v>
      </c>
      <c r="V206" s="4">
        <v>40</v>
      </c>
      <c r="W206" s="4">
        <v>83</v>
      </c>
    </row>
    <row r="207" spans="1:23" ht="11.25" customHeight="1" x14ac:dyDescent="0.25">
      <c r="A207" s="4" t="s">
        <v>21</v>
      </c>
      <c r="B207" s="4" t="s">
        <v>37</v>
      </c>
      <c r="C207" s="4" t="s">
        <v>23</v>
      </c>
      <c r="D207" s="4" t="s">
        <v>43</v>
      </c>
      <c r="E207" s="4" t="s">
        <v>25</v>
      </c>
      <c r="F207" s="4" t="s">
        <v>25</v>
      </c>
      <c r="G207" s="4" t="s">
        <v>25</v>
      </c>
      <c r="H207" s="4" t="s">
        <v>25</v>
      </c>
      <c r="I207" s="5">
        <v>44409</v>
      </c>
      <c r="J207" s="6">
        <v>0</v>
      </c>
      <c r="K207" s="6">
        <v>0</v>
      </c>
      <c r="L207" s="6">
        <v>5.2249999999999996</v>
      </c>
      <c r="M207" s="6">
        <v>5.2249999999999996</v>
      </c>
      <c r="N207" s="6">
        <v>5.2249999999999996</v>
      </c>
      <c r="O207" s="6">
        <v>5.2249999999999996</v>
      </c>
      <c r="P207" s="6">
        <v>18</v>
      </c>
      <c r="Q207" s="4" t="s">
        <v>26</v>
      </c>
      <c r="R207" s="4">
        <v>0</v>
      </c>
      <c r="S207" s="4" t="s">
        <v>223</v>
      </c>
      <c r="T207" s="4" t="s">
        <v>375</v>
      </c>
      <c r="U207" s="4">
        <v>0</v>
      </c>
      <c r="V207" s="4">
        <v>40</v>
      </c>
      <c r="W207" s="4">
        <v>83</v>
      </c>
    </row>
    <row r="208" spans="1:23" ht="11.25" customHeight="1" x14ac:dyDescent="0.25">
      <c r="A208" s="4" t="s">
        <v>21</v>
      </c>
      <c r="B208" s="4" t="s">
        <v>37</v>
      </c>
      <c r="C208" s="4" t="s">
        <v>23</v>
      </c>
      <c r="D208" s="4" t="s">
        <v>43</v>
      </c>
      <c r="E208" s="4" t="s">
        <v>25</v>
      </c>
      <c r="F208" s="4" t="s">
        <v>25</v>
      </c>
      <c r="G208" s="4" t="s">
        <v>25</v>
      </c>
      <c r="H208" s="4" t="s">
        <v>25</v>
      </c>
      <c r="I208" s="5">
        <v>44440</v>
      </c>
      <c r="J208" s="6">
        <v>0</v>
      </c>
      <c r="K208" s="6">
        <v>0</v>
      </c>
      <c r="L208" s="6">
        <v>7.59</v>
      </c>
      <c r="M208" s="6">
        <v>7.59</v>
      </c>
      <c r="N208" s="6">
        <v>7.59</v>
      </c>
      <c r="O208" s="6">
        <v>7.59</v>
      </c>
      <c r="P208" s="6">
        <v>18</v>
      </c>
      <c r="Q208" s="4" t="s">
        <v>26</v>
      </c>
      <c r="R208" s="4">
        <v>0</v>
      </c>
      <c r="S208" s="4" t="s">
        <v>224</v>
      </c>
      <c r="T208" s="4" t="s">
        <v>376</v>
      </c>
      <c r="U208" s="4">
        <v>0</v>
      </c>
      <c r="V208" s="4">
        <v>40</v>
      </c>
      <c r="W208" s="4">
        <v>83</v>
      </c>
    </row>
    <row r="209" spans="1:23" ht="11.25" customHeight="1" x14ac:dyDescent="0.25">
      <c r="A209" s="4" t="s">
        <v>21</v>
      </c>
      <c r="B209" s="4" t="s">
        <v>37</v>
      </c>
      <c r="C209" s="4" t="s">
        <v>23</v>
      </c>
      <c r="D209" s="4" t="s">
        <v>43</v>
      </c>
      <c r="E209" s="4" t="s">
        <v>25</v>
      </c>
      <c r="F209" s="4" t="s">
        <v>25</v>
      </c>
      <c r="G209" s="4" t="s">
        <v>25</v>
      </c>
      <c r="H209" s="4" t="s">
        <v>25</v>
      </c>
      <c r="I209" s="5">
        <v>44470</v>
      </c>
      <c r="J209" s="6">
        <v>0</v>
      </c>
      <c r="K209" s="6">
        <v>0</v>
      </c>
      <c r="L209" s="6">
        <v>7.13</v>
      </c>
      <c r="M209" s="6">
        <v>7.13</v>
      </c>
      <c r="N209" s="6">
        <v>7.13</v>
      </c>
      <c r="O209" s="6">
        <v>7.13</v>
      </c>
      <c r="P209" s="6">
        <v>18</v>
      </c>
      <c r="Q209" s="4" t="s">
        <v>26</v>
      </c>
      <c r="R209" s="4">
        <v>0</v>
      </c>
      <c r="S209" s="4" t="s">
        <v>225</v>
      </c>
      <c r="T209" s="4" t="s">
        <v>377</v>
      </c>
      <c r="U209" s="4">
        <v>0</v>
      </c>
      <c r="V209" s="4">
        <v>40</v>
      </c>
      <c r="W209" s="4">
        <v>83</v>
      </c>
    </row>
    <row r="210" spans="1:23" ht="11.25" customHeight="1" x14ac:dyDescent="0.25">
      <c r="A210" s="4" t="s">
        <v>21</v>
      </c>
      <c r="B210" s="4" t="s">
        <v>37</v>
      </c>
      <c r="C210" s="4" t="s">
        <v>23</v>
      </c>
      <c r="D210" s="4" t="s">
        <v>43</v>
      </c>
      <c r="E210" s="4" t="s">
        <v>25</v>
      </c>
      <c r="F210" s="4" t="s">
        <v>25</v>
      </c>
      <c r="G210" s="4" t="s">
        <v>25</v>
      </c>
      <c r="H210" s="4" t="s">
        <v>25</v>
      </c>
      <c r="I210" s="5">
        <v>44501</v>
      </c>
      <c r="J210" s="6">
        <v>0</v>
      </c>
      <c r="K210" s="6">
        <v>0</v>
      </c>
      <c r="L210" s="6">
        <v>15.183</v>
      </c>
      <c r="M210" s="6">
        <v>15.183</v>
      </c>
      <c r="N210" s="6">
        <v>15.183</v>
      </c>
      <c r="O210" s="6">
        <v>15.183</v>
      </c>
      <c r="P210" s="6">
        <v>18</v>
      </c>
      <c r="Q210" s="4" t="s">
        <v>26</v>
      </c>
      <c r="R210" s="4">
        <v>0</v>
      </c>
      <c r="S210" s="4" t="s">
        <v>226</v>
      </c>
      <c r="T210" s="4" t="s">
        <v>378</v>
      </c>
      <c r="U210" s="4">
        <v>0</v>
      </c>
      <c r="V210" s="4">
        <v>40</v>
      </c>
      <c r="W210" s="4">
        <v>83</v>
      </c>
    </row>
    <row r="211" spans="1:23" ht="11.25" customHeight="1" x14ac:dyDescent="0.25">
      <c r="A211" s="4" t="s">
        <v>21</v>
      </c>
      <c r="B211" s="4" t="s">
        <v>37</v>
      </c>
      <c r="C211" s="4" t="s">
        <v>23</v>
      </c>
      <c r="D211" s="4" t="s">
        <v>43</v>
      </c>
      <c r="E211" s="4" t="s">
        <v>25</v>
      </c>
      <c r="F211" s="4" t="s">
        <v>25</v>
      </c>
      <c r="G211" s="4" t="s">
        <v>25</v>
      </c>
      <c r="H211" s="4" t="s">
        <v>25</v>
      </c>
      <c r="I211" s="5">
        <v>44531</v>
      </c>
      <c r="J211" s="6">
        <v>0</v>
      </c>
      <c r="K211" s="6">
        <v>0</v>
      </c>
      <c r="L211" s="6">
        <v>12.304</v>
      </c>
      <c r="M211" s="6">
        <v>12.304</v>
      </c>
      <c r="N211" s="6">
        <v>12.304</v>
      </c>
      <c r="O211" s="6">
        <v>12.304</v>
      </c>
      <c r="P211" s="6">
        <v>18</v>
      </c>
      <c r="Q211" s="4" t="s">
        <v>26</v>
      </c>
      <c r="R211" s="4">
        <v>0</v>
      </c>
      <c r="S211" s="4" t="s">
        <v>227</v>
      </c>
      <c r="T211" s="4" t="s">
        <v>379</v>
      </c>
      <c r="U211" s="4">
        <v>0</v>
      </c>
      <c r="V211" s="4">
        <v>40</v>
      </c>
      <c r="W211" s="4">
        <v>83</v>
      </c>
    </row>
    <row r="212" spans="1:23" ht="11.25" customHeight="1" x14ac:dyDescent="0.25">
      <c r="A212" s="4" t="s">
        <v>21</v>
      </c>
      <c r="B212" s="4" t="s">
        <v>37</v>
      </c>
      <c r="C212" s="4" t="s">
        <v>23</v>
      </c>
      <c r="D212" s="4" t="s">
        <v>43</v>
      </c>
      <c r="E212" s="4" t="s">
        <v>25</v>
      </c>
      <c r="F212" s="4" t="s">
        <v>25</v>
      </c>
      <c r="G212" s="4" t="s">
        <v>25</v>
      </c>
      <c r="H212" s="4" t="s">
        <v>25</v>
      </c>
      <c r="I212" s="5">
        <v>44562</v>
      </c>
      <c r="J212" s="6">
        <v>0</v>
      </c>
      <c r="K212" s="6">
        <v>0</v>
      </c>
      <c r="L212" s="6">
        <v>7.01</v>
      </c>
      <c r="M212" s="6">
        <v>7.01</v>
      </c>
      <c r="N212" s="6">
        <v>7.01</v>
      </c>
      <c r="O212" s="6">
        <v>7.01</v>
      </c>
      <c r="P212" s="6">
        <v>18</v>
      </c>
      <c r="Q212" s="4" t="s">
        <v>26</v>
      </c>
      <c r="R212" s="4">
        <v>0</v>
      </c>
      <c r="S212" s="4" t="s">
        <v>228</v>
      </c>
      <c r="T212" s="4" t="s">
        <v>380</v>
      </c>
      <c r="U212" s="4">
        <v>0</v>
      </c>
      <c r="V212" s="4">
        <v>40</v>
      </c>
      <c r="W212" s="4">
        <v>83</v>
      </c>
    </row>
    <row r="213" spans="1:23" ht="11.25" customHeight="1" x14ac:dyDescent="0.25">
      <c r="A213" s="4" t="s">
        <v>21</v>
      </c>
      <c r="B213" s="4" t="s">
        <v>37</v>
      </c>
      <c r="C213" s="4" t="s">
        <v>23</v>
      </c>
      <c r="D213" s="4" t="s">
        <v>43</v>
      </c>
      <c r="E213" s="4" t="s">
        <v>25</v>
      </c>
      <c r="F213" s="4" t="s">
        <v>25</v>
      </c>
      <c r="G213" s="4" t="s">
        <v>25</v>
      </c>
      <c r="H213" s="4" t="s">
        <v>25</v>
      </c>
      <c r="I213" s="5">
        <v>44593</v>
      </c>
      <c r="J213" s="6">
        <v>0</v>
      </c>
      <c r="K213" s="6">
        <v>0</v>
      </c>
      <c r="L213" s="6">
        <v>7.4349999999999996</v>
      </c>
      <c r="M213" s="6">
        <v>7.4349999999999996</v>
      </c>
      <c r="N213" s="6">
        <v>7.4349999999999996</v>
      </c>
      <c r="O213" s="6">
        <v>7.4349999999999996</v>
      </c>
      <c r="P213" s="6">
        <v>18</v>
      </c>
      <c r="Q213" s="4" t="s">
        <v>26</v>
      </c>
      <c r="R213" s="4">
        <v>0</v>
      </c>
      <c r="S213" s="4" t="s">
        <v>229</v>
      </c>
      <c r="T213" s="4" t="s">
        <v>381</v>
      </c>
      <c r="U213" s="4">
        <v>0</v>
      </c>
      <c r="V213" s="4">
        <v>40</v>
      </c>
      <c r="W213" s="4">
        <v>83</v>
      </c>
    </row>
    <row r="214" spans="1:23" ht="11.25" customHeight="1" x14ac:dyDescent="0.25">
      <c r="A214" s="4" t="s">
        <v>21</v>
      </c>
      <c r="B214" s="4" t="s">
        <v>37</v>
      </c>
      <c r="C214" s="4" t="s">
        <v>23</v>
      </c>
      <c r="D214" s="4" t="s">
        <v>43</v>
      </c>
      <c r="E214" s="4" t="s">
        <v>25</v>
      </c>
      <c r="F214" s="4" t="s">
        <v>25</v>
      </c>
      <c r="G214" s="4" t="s">
        <v>25</v>
      </c>
      <c r="H214" s="4" t="s">
        <v>25</v>
      </c>
      <c r="I214" s="5">
        <v>44621</v>
      </c>
      <c r="J214" s="6">
        <v>0</v>
      </c>
      <c r="K214" s="6">
        <v>0</v>
      </c>
      <c r="L214" s="6">
        <v>11.063000000000001</v>
      </c>
      <c r="M214" s="6">
        <v>11.063000000000001</v>
      </c>
      <c r="N214" s="6">
        <v>11.063000000000001</v>
      </c>
      <c r="O214" s="6">
        <v>11.063000000000001</v>
      </c>
      <c r="P214" s="6">
        <v>18</v>
      </c>
      <c r="Q214" s="4" t="s">
        <v>26</v>
      </c>
      <c r="R214" s="4">
        <v>0</v>
      </c>
      <c r="S214" s="4" t="s">
        <v>230</v>
      </c>
      <c r="T214" s="4" t="s">
        <v>382</v>
      </c>
      <c r="U214" s="4">
        <v>0</v>
      </c>
      <c r="V214" s="4">
        <v>40</v>
      </c>
      <c r="W214" s="4">
        <v>83</v>
      </c>
    </row>
    <row r="215" spans="1:23" ht="11.25" customHeight="1" x14ac:dyDescent="0.25">
      <c r="A215" s="4" t="s">
        <v>21</v>
      </c>
      <c r="B215" s="4" t="s">
        <v>37</v>
      </c>
      <c r="C215" s="4" t="s">
        <v>23</v>
      </c>
      <c r="D215" s="4" t="s">
        <v>43</v>
      </c>
      <c r="E215" s="4" t="s">
        <v>25</v>
      </c>
      <c r="F215" s="4" t="s">
        <v>25</v>
      </c>
      <c r="G215" s="4" t="s">
        <v>25</v>
      </c>
      <c r="H215" s="4" t="s">
        <v>25</v>
      </c>
      <c r="I215" s="5">
        <v>44652</v>
      </c>
      <c r="J215" s="6">
        <v>0</v>
      </c>
      <c r="K215" s="6">
        <v>0</v>
      </c>
      <c r="L215" s="6">
        <v>11.122</v>
      </c>
      <c r="M215" s="6">
        <v>11.122</v>
      </c>
      <c r="N215" s="6">
        <v>11.122</v>
      </c>
      <c r="O215" s="6">
        <v>11.122</v>
      </c>
      <c r="P215" s="6">
        <v>18</v>
      </c>
      <c r="Q215" s="4" t="s">
        <v>26</v>
      </c>
      <c r="R215" s="4">
        <v>0</v>
      </c>
      <c r="S215" s="4" t="s">
        <v>231</v>
      </c>
      <c r="T215" s="4" t="s">
        <v>383</v>
      </c>
      <c r="U215" s="4">
        <v>0</v>
      </c>
      <c r="V215" s="4">
        <v>40</v>
      </c>
      <c r="W215" s="4">
        <v>83</v>
      </c>
    </row>
    <row r="216" spans="1:23" ht="11.25" customHeight="1" x14ac:dyDescent="0.25">
      <c r="A216" s="4" t="s">
        <v>21</v>
      </c>
      <c r="B216" s="4" t="s">
        <v>37</v>
      </c>
      <c r="C216" s="4" t="s">
        <v>23</v>
      </c>
      <c r="D216" s="4" t="s">
        <v>43</v>
      </c>
      <c r="E216" s="4" t="s">
        <v>25</v>
      </c>
      <c r="F216" s="4" t="s">
        <v>25</v>
      </c>
      <c r="G216" s="4" t="s">
        <v>25</v>
      </c>
      <c r="H216" s="4" t="s">
        <v>25</v>
      </c>
      <c r="I216" s="5">
        <v>44682</v>
      </c>
      <c r="J216" s="6">
        <v>0</v>
      </c>
      <c r="K216" s="6">
        <v>0</v>
      </c>
      <c r="L216" s="6">
        <v>10.375</v>
      </c>
      <c r="M216" s="6">
        <v>10.375</v>
      </c>
      <c r="N216" s="6">
        <v>10.375</v>
      </c>
      <c r="O216" s="6">
        <v>10.375</v>
      </c>
      <c r="P216" s="6">
        <v>18</v>
      </c>
      <c r="Q216" s="4" t="s">
        <v>26</v>
      </c>
      <c r="R216" s="4">
        <v>0</v>
      </c>
      <c r="S216" s="4" t="s">
        <v>232</v>
      </c>
      <c r="T216" s="4" t="s">
        <v>384</v>
      </c>
      <c r="U216" s="4">
        <v>0</v>
      </c>
      <c r="V216" s="4">
        <v>40</v>
      </c>
      <c r="W216" s="4">
        <v>83</v>
      </c>
    </row>
    <row r="217" spans="1:23" ht="11.25" customHeight="1" x14ac:dyDescent="0.25">
      <c r="A217" s="4" t="s">
        <v>21</v>
      </c>
      <c r="B217" s="4" t="s">
        <v>37</v>
      </c>
      <c r="C217" s="4" t="s">
        <v>23</v>
      </c>
      <c r="D217" s="4" t="s">
        <v>43</v>
      </c>
      <c r="E217" s="4" t="s">
        <v>25</v>
      </c>
      <c r="F217" s="4" t="s">
        <v>25</v>
      </c>
      <c r="G217" s="4" t="s">
        <v>25</v>
      </c>
      <c r="H217" s="4" t="s">
        <v>25</v>
      </c>
      <c r="I217" s="5">
        <v>44713</v>
      </c>
      <c r="J217" s="6">
        <v>0</v>
      </c>
      <c r="K217" s="6">
        <v>0</v>
      </c>
      <c r="L217" s="6">
        <v>12.573</v>
      </c>
      <c r="M217" s="6">
        <v>12.573</v>
      </c>
      <c r="N217" s="6">
        <v>12.573</v>
      </c>
      <c r="O217" s="6">
        <v>12.573</v>
      </c>
      <c r="P217" s="6">
        <v>18</v>
      </c>
      <c r="Q217" s="4" t="s">
        <v>26</v>
      </c>
      <c r="R217" s="4">
        <v>0</v>
      </c>
      <c r="S217" s="4" t="s">
        <v>233</v>
      </c>
      <c r="T217" s="4" t="s">
        <v>385</v>
      </c>
      <c r="U217" s="4">
        <v>0</v>
      </c>
      <c r="V217" s="4">
        <v>40</v>
      </c>
      <c r="W217" s="4">
        <v>83</v>
      </c>
    </row>
    <row r="218" spans="1:23" ht="11.25" customHeight="1" x14ac:dyDescent="0.25">
      <c r="A218" s="4" t="s">
        <v>21</v>
      </c>
      <c r="B218" s="4" t="s">
        <v>37</v>
      </c>
      <c r="C218" s="4" t="s">
        <v>23</v>
      </c>
      <c r="D218" s="4" t="s">
        <v>47</v>
      </c>
      <c r="E218" s="4" t="s">
        <v>48</v>
      </c>
      <c r="F218" s="4" t="s">
        <v>25</v>
      </c>
      <c r="G218" s="4" t="s">
        <v>25</v>
      </c>
      <c r="H218" s="4" t="s">
        <v>25</v>
      </c>
      <c r="I218" s="5">
        <v>44378</v>
      </c>
      <c r="J218" s="6">
        <v>0</v>
      </c>
      <c r="K218" s="6">
        <v>0</v>
      </c>
      <c r="L218" s="6">
        <v>5.45</v>
      </c>
      <c r="M218" s="6">
        <v>5.1230000000000002</v>
      </c>
      <c r="N218" s="6">
        <v>5.45</v>
      </c>
      <c r="O218" s="6">
        <v>5.1230000000000002</v>
      </c>
      <c r="P218" s="6">
        <v>1</v>
      </c>
      <c r="Q218" s="4" t="s">
        <v>26</v>
      </c>
      <c r="R218" s="4">
        <v>0</v>
      </c>
      <c r="S218" s="4" t="s">
        <v>222</v>
      </c>
      <c r="T218" s="4" t="s">
        <v>374</v>
      </c>
      <c r="U218" s="4">
        <v>0</v>
      </c>
      <c r="V218" s="4">
        <v>40</v>
      </c>
      <c r="W218" s="4">
        <v>83</v>
      </c>
    </row>
    <row r="219" spans="1:23" ht="11.25" customHeight="1" x14ac:dyDescent="0.25">
      <c r="A219" s="4" t="s">
        <v>21</v>
      </c>
      <c r="B219" s="4" t="s">
        <v>37</v>
      </c>
      <c r="C219" s="4" t="s">
        <v>23</v>
      </c>
      <c r="D219" s="4" t="s">
        <v>47</v>
      </c>
      <c r="E219" s="4" t="s">
        <v>48</v>
      </c>
      <c r="F219" s="4" t="s">
        <v>25</v>
      </c>
      <c r="G219" s="4" t="s">
        <v>25</v>
      </c>
      <c r="H219" s="4" t="s">
        <v>25</v>
      </c>
      <c r="I219" s="5">
        <v>44409</v>
      </c>
      <c r="J219" s="6">
        <v>0</v>
      </c>
      <c r="K219" s="6">
        <v>0</v>
      </c>
      <c r="L219" s="6">
        <v>6.55</v>
      </c>
      <c r="M219" s="6">
        <v>6.1569999999999991</v>
      </c>
      <c r="N219" s="6">
        <v>6.55</v>
      </c>
      <c r="O219" s="6">
        <v>6.1569999999999991</v>
      </c>
      <c r="P219" s="6">
        <v>1</v>
      </c>
      <c r="Q219" s="4" t="s">
        <v>26</v>
      </c>
      <c r="R219" s="4">
        <v>0</v>
      </c>
      <c r="S219" s="4" t="s">
        <v>223</v>
      </c>
      <c r="T219" s="4" t="s">
        <v>375</v>
      </c>
      <c r="U219" s="4">
        <v>0</v>
      </c>
      <c r="V219" s="4">
        <v>40</v>
      </c>
      <c r="W219" s="4">
        <v>83</v>
      </c>
    </row>
    <row r="220" spans="1:23" ht="11.25" customHeight="1" x14ac:dyDescent="0.25">
      <c r="A220" s="4" t="s">
        <v>21</v>
      </c>
      <c r="B220" s="4" t="s">
        <v>37</v>
      </c>
      <c r="C220" s="4" t="s">
        <v>23</v>
      </c>
      <c r="D220" s="4" t="s">
        <v>47</v>
      </c>
      <c r="E220" s="4" t="s">
        <v>48</v>
      </c>
      <c r="F220" s="4" t="s">
        <v>25</v>
      </c>
      <c r="G220" s="4" t="s">
        <v>25</v>
      </c>
      <c r="H220" s="4" t="s">
        <v>25</v>
      </c>
      <c r="I220" s="5">
        <v>44440</v>
      </c>
      <c r="J220" s="6">
        <v>0</v>
      </c>
      <c r="K220" s="6">
        <v>0</v>
      </c>
      <c r="L220" s="6">
        <v>6.35</v>
      </c>
      <c r="M220" s="6">
        <v>5.9690000000000003</v>
      </c>
      <c r="N220" s="6">
        <v>6.35</v>
      </c>
      <c r="O220" s="6">
        <v>5.9690000000000003</v>
      </c>
      <c r="P220" s="6">
        <v>1</v>
      </c>
      <c r="Q220" s="4" t="s">
        <v>26</v>
      </c>
      <c r="R220" s="4">
        <v>0</v>
      </c>
      <c r="S220" s="4" t="s">
        <v>224</v>
      </c>
      <c r="T220" s="4" t="s">
        <v>376</v>
      </c>
      <c r="U220" s="4">
        <v>0</v>
      </c>
      <c r="V220" s="4">
        <v>40</v>
      </c>
      <c r="W220" s="4">
        <v>83</v>
      </c>
    </row>
    <row r="221" spans="1:23" ht="11.25" customHeight="1" x14ac:dyDescent="0.25">
      <c r="A221" s="4" t="s">
        <v>21</v>
      </c>
      <c r="B221" s="4" t="s">
        <v>37</v>
      </c>
      <c r="C221" s="4" t="s">
        <v>23</v>
      </c>
      <c r="D221" s="4" t="s">
        <v>47</v>
      </c>
      <c r="E221" s="4" t="s">
        <v>48</v>
      </c>
      <c r="F221" s="4" t="s">
        <v>25</v>
      </c>
      <c r="G221" s="4" t="s">
        <v>25</v>
      </c>
      <c r="H221" s="4" t="s">
        <v>25</v>
      </c>
      <c r="I221" s="5">
        <v>44470</v>
      </c>
      <c r="J221" s="6">
        <v>0</v>
      </c>
      <c r="K221" s="6">
        <v>0</v>
      </c>
      <c r="L221" s="6">
        <v>7.25</v>
      </c>
      <c r="M221" s="6">
        <v>6.8150000000000004</v>
      </c>
      <c r="N221" s="6">
        <v>7.25</v>
      </c>
      <c r="O221" s="6">
        <v>6.8150000000000004</v>
      </c>
      <c r="P221" s="6">
        <v>1</v>
      </c>
      <c r="Q221" s="4" t="s">
        <v>26</v>
      </c>
      <c r="R221" s="4">
        <v>0</v>
      </c>
      <c r="S221" s="4" t="s">
        <v>225</v>
      </c>
      <c r="T221" s="4" t="s">
        <v>377</v>
      </c>
      <c r="U221" s="4">
        <v>0</v>
      </c>
      <c r="V221" s="4">
        <v>40</v>
      </c>
      <c r="W221" s="4">
        <v>83</v>
      </c>
    </row>
    <row r="222" spans="1:23" ht="11.25" customHeight="1" x14ac:dyDescent="0.25">
      <c r="A222" s="4" t="s">
        <v>21</v>
      </c>
      <c r="B222" s="4" t="s">
        <v>37</v>
      </c>
      <c r="C222" s="4" t="s">
        <v>23</v>
      </c>
      <c r="D222" s="4" t="s">
        <v>47</v>
      </c>
      <c r="E222" s="4" t="s">
        <v>48</v>
      </c>
      <c r="F222" s="4" t="s">
        <v>25</v>
      </c>
      <c r="G222" s="4" t="s">
        <v>25</v>
      </c>
      <c r="H222" s="4" t="s">
        <v>25</v>
      </c>
      <c r="I222" s="5">
        <v>44501</v>
      </c>
      <c r="J222" s="6">
        <v>0</v>
      </c>
      <c r="K222" s="6">
        <v>0</v>
      </c>
      <c r="L222" s="6">
        <v>7.2</v>
      </c>
      <c r="M222" s="6">
        <v>6.7679999999999998</v>
      </c>
      <c r="N222" s="6">
        <v>7.2</v>
      </c>
      <c r="O222" s="6">
        <v>6.7679999999999998</v>
      </c>
      <c r="P222" s="6">
        <v>1</v>
      </c>
      <c r="Q222" s="4" t="s">
        <v>26</v>
      </c>
      <c r="R222" s="4">
        <v>0</v>
      </c>
      <c r="S222" s="4" t="s">
        <v>226</v>
      </c>
      <c r="T222" s="4" t="s">
        <v>378</v>
      </c>
      <c r="U222" s="4">
        <v>0</v>
      </c>
      <c r="V222" s="4">
        <v>40</v>
      </c>
      <c r="W222" s="4">
        <v>83</v>
      </c>
    </row>
    <row r="223" spans="1:23" ht="11.25" customHeight="1" x14ac:dyDescent="0.25">
      <c r="A223" s="4" t="s">
        <v>21</v>
      </c>
      <c r="B223" s="4" t="s">
        <v>37</v>
      </c>
      <c r="C223" s="4" t="s">
        <v>23</v>
      </c>
      <c r="D223" s="4" t="s">
        <v>47</v>
      </c>
      <c r="E223" s="4" t="s">
        <v>48</v>
      </c>
      <c r="F223" s="4" t="s">
        <v>25</v>
      </c>
      <c r="G223" s="4" t="s">
        <v>25</v>
      </c>
      <c r="H223" s="4" t="s">
        <v>25</v>
      </c>
      <c r="I223" s="5">
        <v>44531</v>
      </c>
      <c r="J223" s="6">
        <v>0</v>
      </c>
      <c r="K223" s="6">
        <v>0</v>
      </c>
      <c r="L223" s="6">
        <v>6.25</v>
      </c>
      <c r="M223" s="6">
        <v>5.875</v>
      </c>
      <c r="N223" s="6">
        <v>6.25</v>
      </c>
      <c r="O223" s="6">
        <v>5.875</v>
      </c>
      <c r="P223" s="6">
        <v>1</v>
      </c>
      <c r="Q223" s="4" t="s">
        <v>26</v>
      </c>
      <c r="R223" s="4">
        <v>0</v>
      </c>
      <c r="S223" s="4" t="s">
        <v>227</v>
      </c>
      <c r="T223" s="4" t="s">
        <v>379</v>
      </c>
      <c r="U223" s="4">
        <v>0</v>
      </c>
      <c r="V223" s="4">
        <v>40</v>
      </c>
      <c r="W223" s="4">
        <v>83</v>
      </c>
    </row>
    <row r="224" spans="1:23" ht="11.25" customHeight="1" x14ac:dyDescent="0.25">
      <c r="A224" s="4" t="s">
        <v>21</v>
      </c>
      <c r="B224" s="4" t="s">
        <v>37</v>
      </c>
      <c r="C224" s="4" t="s">
        <v>23</v>
      </c>
      <c r="D224" s="4" t="s">
        <v>47</v>
      </c>
      <c r="E224" s="4" t="s">
        <v>48</v>
      </c>
      <c r="F224" s="4" t="s">
        <v>25</v>
      </c>
      <c r="G224" s="4" t="s">
        <v>25</v>
      </c>
      <c r="H224" s="4" t="s">
        <v>25</v>
      </c>
      <c r="I224" s="5">
        <v>44562</v>
      </c>
      <c r="J224" s="6">
        <v>0</v>
      </c>
      <c r="K224" s="6">
        <v>0</v>
      </c>
      <c r="L224" s="6">
        <v>7.6</v>
      </c>
      <c r="M224" s="6">
        <v>7.1440000000000001</v>
      </c>
      <c r="N224" s="6">
        <v>7.6</v>
      </c>
      <c r="O224" s="6">
        <v>7.1440000000000001</v>
      </c>
      <c r="P224" s="6">
        <v>1</v>
      </c>
      <c r="Q224" s="4" t="s">
        <v>26</v>
      </c>
      <c r="R224" s="4">
        <v>0</v>
      </c>
      <c r="S224" s="4" t="s">
        <v>228</v>
      </c>
      <c r="T224" s="4" t="s">
        <v>380</v>
      </c>
      <c r="U224" s="4">
        <v>0</v>
      </c>
      <c r="V224" s="4">
        <v>40</v>
      </c>
      <c r="W224" s="4">
        <v>83</v>
      </c>
    </row>
    <row r="225" spans="1:23" ht="11.25" customHeight="1" x14ac:dyDescent="0.25">
      <c r="A225" s="4" t="s">
        <v>21</v>
      </c>
      <c r="B225" s="4" t="s">
        <v>37</v>
      </c>
      <c r="C225" s="4" t="s">
        <v>23</v>
      </c>
      <c r="D225" s="4" t="s">
        <v>47</v>
      </c>
      <c r="E225" s="4" t="s">
        <v>48</v>
      </c>
      <c r="F225" s="4" t="s">
        <v>25</v>
      </c>
      <c r="G225" s="4" t="s">
        <v>25</v>
      </c>
      <c r="H225" s="4" t="s">
        <v>25</v>
      </c>
      <c r="I225" s="5">
        <v>44593</v>
      </c>
      <c r="J225" s="6">
        <v>0</v>
      </c>
      <c r="K225" s="6">
        <v>0</v>
      </c>
      <c r="L225" s="6">
        <v>7.3</v>
      </c>
      <c r="M225" s="6">
        <v>6.8620000000000001</v>
      </c>
      <c r="N225" s="6">
        <v>7.3</v>
      </c>
      <c r="O225" s="6">
        <v>6.8620000000000001</v>
      </c>
      <c r="P225" s="6">
        <v>1</v>
      </c>
      <c r="Q225" s="4" t="s">
        <v>26</v>
      </c>
      <c r="R225" s="4">
        <v>0</v>
      </c>
      <c r="S225" s="4" t="s">
        <v>229</v>
      </c>
      <c r="T225" s="4" t="s">
        <v>381</v>
      </c>
      <c r="U225" s="4">
        <v>0</v>
      </c>
      <c r="V225" s="4">
        <v>40</v>
      </c>
      <c r="W225" s="4">
        <v>83</v>
      </c>
    </row>
    <row r="226" spans="1:23" ht="11.25" customHeight="1" x14ac:dyDescent="0.25">
      <c r="A226" s="4" t="s">
        <v>21</v>
      </c>
      <c r="B226" s="4" t="s">
        <v>37</v>
      </c>
      <c r="C226" s="4" t="s">
        <v>23</v>
      </c>
      <c r="D226" s="4" t="s">
        <v>47</v>
      </c>
      <c r="E226" s="4" t="s">
        <v>48</v>
      </c>
      <c r="F226" s="4" t="s">
        <v>25</v>
      </c>
      <c r="G226" s="4" t="s">
        <v>25</v>
      </c>
      <c r="H226" s="4" t="s">
        <v>25</v>
      </c>
      <c r="I226" s="5">
        <v>44621</v>
      </c>
      <c r="J226" s="6">
        <v>0</v>
      </c>
      <c r="K226" s="6">
        <v>0</v>
      </c>
      <c r="L226" s="6">
        <v>4.0999999999999996</v>
      </c>
      <c r="M226" s="6">
        <v>3.8540000000000001</v>
      </c>
      <c r="N226" s="6">
        <v>4.0999999999999996</v>
      </c>
      <c r="O226" s="6">
        <v>3.8540000000000001</v>
      </c>
      <c r="P226" s="6">
        <v>1</v>
      </c>
      <c r="Q226" s="4" t="s">
        <v>26</v>
      </c>
      <c r="R226" s="4">
        <v>0</v>
      </c>
      <c r="S226" s="4" t="s">
        <v>230</v>
      </c>
      <c r="T226" s="4" t="s">
        <v>382</v>
      </c>
      <c r="U226" s="4">
        <v>0</v>
      </c>
      <c r="V226" s="4">
        <v>40</v>
      </c>
      <c r="W226" s="4">
        <v>83</v>
      </c>
    </row>
    <row r="227" spans="1:23" ht="11.25" customHeight="1" x14ac:dyDescent="0.25">
      <c r="A227" s="4" t="s">
        <v>21</v>
      </c>
      <c r="B227" s="4" t="s">
        <v>37</v>
      </c>
      <c r="C227" s="4" t="s">
        <v>23</v>
      </c>
      <c r="D227" s="4" t="s">
        <v>47</v>
      </c>
      <c r="E227" s="4" t="s">
        <v>48</v>
      </c>
      <c r="F227" s="4" t="s">
        <v>25</v>
      </c>
      <c r="G227" s="4" t="s">
        <v>25</v>
      </c>
      <c r="H227" s="4" t="s">
        <v>25</v>
      </c>
      <c r="I227" s="5">
        <v>44652</v>
      </c>
      <c r="J227" s="6">
        <v>0</v>
      </c>
      <c r="K227" s="6">
        <v>0</v>
      </c>
      <c r="L227" s="6">
        <v>8.6999999999999993</v>
      </c>
      <c r="M227" s="6">
        <v>8.1780000000000008</v>
      </c>
      <c r="N227" s="6">
        <v>8.6999999999999993</v>
      </c>
      <c r="O227" s="6">
        <v>8.1780000000000008</v>
      </c>
      <c r="P227" s="6">
        <v>1</v>
      </c>
      <c r="Q227" s="4" t="s">
        <v>26</v>
      </c>
      <c r="R227" s="4">
        <v>0</v>
      </c>
      <c r="S227" s="4" t="s">
        <v>231</v>
      </c>
      <c r="T227" s="4" t="s">
        <v>383</v>
      </c>
      <c r="U227" s="4">
        <v>0</v>
      </c>
      <c r="V227" s="4">
        <v>40</v>
      </c>
      <c r="W227" s="4">
        <v>83</v>
      </c>
    </row>
    <row r="228" spans="1:23" ht="11.25" customHeight="1" x14ac:dyDescent="0.25">
      <c r="A228" s="4" t="s">
        <v>21</v>
      </c>
      <c r="B228" s="4" t="s">
        <v>37</v>
      </c>
      <c r="C228" s="4" t="s">
        <v>23</v>
      </c>
      <c r="D228" s="4" t="s">
        <v>47</v>
      </c>
      <c r="E228" s="4" t="s">
        <v>48</v>
      </c>
      <c r="F228" s="4" t="s">
        <v>25</v>
      </c>
      <c r="G228" s="4" t="s">
        <v>25</v>
      </c>
      <c r="H228" s="4" t="s">
        <v>25</v>
      </c>
      <c r="I228" s="5">
        <v>44682</v>
      </c>
      <c r="J228" s="6">
        <v>0</v>
      </c>
      <c r="K228" s="6">
        <v>0</v>
      </c>
      <c r="L228" s="6">
        <v>8.9</v>
      </c>
      <c r="M228" s="6">
        <v>8.3659999999999997</v>
      </c>
      <c r="N228" s="6">
        <v>8.9</v>
      </c>
      <c r="O228" s="6">
        <v>8.3659999999999997</v>
      </c>
      <c r="P228" s="6">
        <v>1</v>
      </c>
      <c r="Q228" s="4" t="s">
        <v>26</v>
      </c>
      <c r="R228" s="4">
        <v>0</v>
      </c>
      <c r="S228" s="4" t="s">
        <v>232</v>
      </c>
      <c r="T228" s="4" t="s">
        <v>384</v>
      </c>
      <c r="U228" s="4">
        <v>0</v>
      </c>
      <c r="V228" s="4">
        <v>40</v>
      </c>
      <c r="W228" s="4">
        <v>83</v>
      </c>
    </row>
    <row r="229" spans="1:23" ht="11.25" customHeight="1" x14ac:dyDescent="0.25">
      <c r="A229" s="4" t="s">
        <v>21</v>
      </c>
      <c r="B229" s="4" t="s">
        <v>37</v>
      </c>
      <c r="C229" s="4" t="s">
        <v>23</v>
      </c>
      <c r="D229" s="4" t="s">
        <v>47</v>
      </c>
      <c r="E229" s="4" t="s">
        <v>48</v>
      </c>
      <c r="F229" s="4" t="s">
        <v>25</v>
      </c>
      <c r="G229" s="4" t="s">
        <v>25</v>
      </c>
      <c r="H229" s="4" t="s">
        <v>25</v>
      </c>
      <c r="I229" s="5">
        <v>44713</v>
      </c>
      <c r="J229" s="6">
        <v>0</v>
      </c>
      <c r="K229" s="6">
        <v>0</v>
      </c>
      <c r="L229" s="6">
        <v>8.65</v>
      </c>
      <c r="M229" s="6">
        <v>8.1310000000000002</v>
      </c>
      <c r="N229" s="6">
        <v>8.65</v>
      </c>
      <c r="O229" s="6">
        <v>8.1310000000000002</v>
      </c>
      <c r="P229" s="6">
        <v>1</v>
      </c>
      <c r="Q229" s="4" t="s">
        <v>26</v>
      </c>
      <c r="R229" s="4">
        <v>0</v>
      </c>
      <c r="S229" s="4" t="s">
        <v>233</v>
      </c>
      <c r="T229" s="4" t="s">
        <v>385</v>
      </c>
      <c r="U229" s="4">
        <v>0</v>
      </c>
      <c r="V229" s="4">
        <v>40</v>
      </c>
      <c r="W229" s="4">
        <v>83</v>
      </c>
    </row>
    <row r="230" spans="1:23" ht="11.25" customHeight="1" x14ac:dyDescent="0.25">
      <c r="A230" s="4" t="s">
        <v>21</v>
      </c>
      <c r="B230" s="4" t="s">
        <v>44</v>
      </c>
      <c r="C230" s="4" t="s">
        <v>23</v>
      </c>
      <c r="D230" s="4" t="s">
        <v>45</v>
      </c>
      <c r="E230" s="4" t="s">
        <v>46</v>
      </c>
      <c r="F230" s="4" t="s">
        <v>25</v>
      </c>
      <c r="G230" s="4" t="s">
        <v>25</v>
      </c>
      <c r="H230" s="4" t="s">
        <v>25</v>
      </c>
      <c r="I230" s="5">
        <v>44378</v>
      </c>
      <c r="J230" s="6">
        <v>0</v>
      </c>
      <c r="K230" s="6">
        <v>0</v>
      </c>
      <c r="L230" s="6">
        <v>40.082999999999998</v>
      </c>
      <c r="M230" s="6">
        <v>40.082999999999998</v>
      </c>
      <c r="N230" s="6">
        <v>40.082999999999998</v>
      </c>
      <c r="O230" s="6">
        <v>40.082999999999998</v>
      </c>
      <c r="P230" s="6">
        <v>35</v>
      </c>
      <c r="Q230" s="4" t="s">
        <v>26</v>
      </c>
      <c r="R230" s="4">
        <v>0</v>
      </c>
      <c r="S230" s="4" t="s">
        <v>234</v>
      </c>
      <c r="T230" s="4" t="s">
        <v>386</v>
      </c>
      <c r="U230" s="4">
        <v>0</v>
      </c>
      <c r="V230" s="4">
        <v>34</v>
      </c>
      <c r="W230" s="4">
        <v>85</v>
      </c>
    </row>
    <row r="231" spans="1:23" ht="11.25" customHeight="1" x14ac:dyDescent="0.25">
      <c r="A231" s="4" t="s">
        <v>21</v>
      </c>
      <c r="B231" s="4" t="s">
        <v>44</v>
      </c>
      <c r="C231" s="4" t="s">
        <v>23</v>
      </c>
      <c r="D231" s="4" t="s">
        <v>45</v>
      </c>
      <c r="E231" s="4" t="s">
        <v>46</v>
      </c>
      <c r="F231" s="4" t="s">
        <v>25</v>
      </c>
      <c r="G231" s="4" t="s">
        <v>25</v>
      </c>
      <c r="H231" s="4" t="s">
        <v>25</v>
      </c>
      <c r="I231" s="5">
        <v>44409</v>
      </c>
      <c r="J231" s="6">
        <v>0</v>
      </c>
      <c r="K231" s="6">
        <v>0</v>
      </c>
      <c r="L231" s="6">
        <v>41.420999999999999</v>
      </c>
      <c r="M231" s="6">
        <v>41.420999999999999</v>
      </c>
      <c r="N231" s="6">
        <v>41.420999999999999</v>
      </c>
      <c r="O231" s="6">
        <v>41.420999999999999</v>
      </c>
      <c r="P231" s="6">
        <v>35</v>
      </c>
      <c r="Q231" s="4" t="s">
        <v>26</v>
      </c>
      <c r="R231" s="4">
        <v>0</v>
      </c>
      <c r="S231" s="4" t="s">
        <v>235</v>
      </c>
      <c r="T231" s="4" t="s">
        <v>387</v>
      </c>
      <c r="U231" s="4">
        <v>0</v>
      </c>
      <c r="V231" s="4">
        <v>34</v>
      </c>
      <c r="W231" s="4">
        <v>85</v>
      </c>
    </row>
    <row r="232" spans="1:23" ht="11.25" customHeight="1" x14ac:dyDescent="0.25">
      <c r="A232" s="4" t="s">
        <v>21</v>
      </c>
      <c r="B232" s="4" t="s">
        <v>44</v>
      </c>
      <c r="C232" s="4" t="s">
        <v>23</v>
      </c>
      <c r="D232" s="4" t="s">
        <v>45</v>
      </c>
      <c r="E232" s="4" t="s">
        <v>46</v>
      </c>
      <c r="F232" s="4" t="s">
        <v>25</v>
      </c>
      <c r="G232" s="4" t="s">
        <v>25</v>
      </c>
      <c r="H232" s="4" t="s">
        <v>25</v>
      </c>
      <c r="I232" s="5">
        <v>44440</v>
      </c>
      <c r="J232" s="6">
        <v>0</v>
      </c>
      <c r="K232" s="6">
        <v>0</v>
      </c>
      <c r="L232" s="6">
        <v>41.75</v>
      </c>
      <c r="M232" s="6">
        <v>41.75</v>
      </c>
      <c r="N232" s="6">
        <v>41.75</v>
      </c>
      <c r="O232" s="6">
        <v>41.75</v>
      </c>
      <c r="P232" s="6">
        <v>36</v>
      </c>
      <c r="Q232" s="4" t="s">
        <v>26</v>
      </c>
      <c r="R232" s="4">
        <v>0</v>
      </c>
      <c r="S232" s="4" t="s">
        <v>236</v>
      </c>
      <c r="T232" s="4" t="s">
        <v>388</v>
      </c>
      <c r="U232" s="4">
        <v>0</v>
      </c>
      <c r="V232" s="4">
        <v>34</v>
      </c>
      <c r="W232" s="4">
        <v>85</v>
      </c>
    </row>
    <row r="233" spans="1:23" ht="11.25" customHeight="1" x14ac:dyDescent="0.25">
      <c r="A233" s="4" t="s">
        <v>21</v>
      </c>
      <c r="B233" s="4" t="s">
        <v>44</v>
      </c>
      <c r="C233" s="4" t="s">
        <v>23</v>
      </c>
      <c r="D233" s="4" t="s">
        <v>45</v>
      </c>
      <c r="E233" s="4" t="s">
        <v>46</v>
      </c>
      <c r="F233" s="4" t="s">
        <v>25</v>
      </c>
      <c r="G233" s="4" t="s">
        <v>25</v>
      </c>
      <c r="H233" s="4" t="s">
        <v>25</v>
      </c>
      <c r="I233" s="5">
        <v>44470</v>
      </c>
      <c r="J233" s="6">
        <v>0</v>
      </c>
      <c r="K233" s="6">
        <v>0</v>
      </c>
      <c r="L233" s="6">
        <v>40.631</v>
      </c>
      <c r="M233" s="6">
        <v>40.631</v>
      </c>
      <c r="N233" s="6">
        <v>40.631</v>
      </c>
      <c r="O233" s="6">
        <v>40.631</v>
      </c>
      <c r="P233" s="6">
        <v>36</v>
      </c>
      <c r="Q233" s="4" t="s">
        <v>26</v>
      </c>
      <c r="R233" s="4">
        <v>0</v>
      </c>
      <c r="S233" s="4" t="s">
        <v>237</v>
      </c>
      <c r="T233" s="4" t="s">
        <v>389</v>
      </c>
      <c r="U233" s="4">
        <v>0</v>
      </c>
      <c r="V233" s="4">
        <v>34</v>
      </c>
      <c r="W233" s="4">
        <v>85</v>
      </c>
    </row>
    <row r="234" spans="1:23" ht="11.25" customHeight="1" x14ac:dyDescent="0.25">
      <c r="A234" s="4" t="s">
        <v>21</v>
      </c>
      <c r="B234" s="4" t="s">
        <v>44</v>
      </c>
      <c r="C234" s="4" t="s">
        <v>23</v>
      </c>
      <c r="D234" s="4" t="s">
        <v>45</v>
      </c>
      <c r="E234" s="4" t="s">
        <v>46</v>
      </c>
      <c r="F234" s="4" t="s">
        <v>25</v>
      </c>
      <c r="G234" s="4" t="s">
        <v>25</v>
      </c>
      <c r="H234" s="4" t="s">
        <v>25</v>
      </c>
      <c r="I234" s="5">
        <v>44501</v>
      </c>
      <c r="J234" s="6">
        <v>0</v>
      </c>
      <c r="K234" s="6">
        <v>0</v>
      </c>
      <c r="L234" s="6">
        <v>41.988</v>
      </c>
      <c r="M234" s="6">
        <v>41.988</v>
      </c>
      <c r="N234" s="6">
        <v>41.988</v>
      </c>
      <c r="O234" s="6">
        <v>41.988</v>
      </c>
      <c r="P234" s="6">
        <v>36</v>
      </c>
      <c r="Q234" s="4" t="s">
        <v>26</v>
      </c>
      <c r="R234" s="4">
        <v>0</v>
      </c>
      <c r="S234" s="4" t="s">
        <v>238</v>
      </c>
      <c r="T234" s="4" t="s">
        <v>390</v>
      </c>
      <c r="U234" s="4">
        <v>0</v>
      </c>
      <c r="V234" s="4">
        <v>34</v>
      </c>
      <c r="W234" s="4">
        <v>85</v>
      </c>
    </row>
    <row r="235" spans="1:23" ht="11.25" customHeight="1" x14ac:dyDescent="0.25">
      <c r="A235" s="4" t="s">
        <v>21</v>
      </c>
      <c r="B235" s="4" t="s">
        <v>44</v>
      </c>
      <c r="C235" s="4" t="s">
        <v>23</v>
      </c>
      <c r="D235" s="4" t="s">
        <v>45</v>
      </c>
      <c r="E235" s="4" t="s">
        <v>46</v>
      </c>
      <c r="F235" s="4" t="s">
        <v>25</v>
      </c>
      <c r="G235" s="4" t="s">
        <v>25</v>
      </c>
      <c r="H235" s="4" t="s">
        <v>25</v>
      </c>
      <c r="I235" s="5">
        <v>44531</v>
      </c>
      <c r="J235" s="6">
        <v>0</v>
      </c>
      <c r="K235" s="6">
        <v>0</v>
      </c>
      <c r="L235" s="6">
        <v>40.347000000000001</v>
      </c>
      <c r="M235" s="6">
        <v>40.347000000000001</v>
      </c>
      <c r="N235" s="6">
        <v>40.347000000000001</v>
      </c>
      <c r="O235" s="6">
        <v>40.347000000000001</v>
      </c>
      <c r="P235" s="6">
        <v>36</v>
      </c>
      <c r="Q235" s="4" t="s">
        <v>26</v>
      </c>
      <c r="R235" s="4">
        <v>0</v>
      </c>
      <c r="S235" s="4" t="s">
        <v>239</v>
      </c>
      <c r="T235" s="4" t="s">
        <v>391</v>
      </c>
      <c r="U235" s="4">
        <v>0</v>
      </c>
      <c r="V235" s="4">
        <v>34</v>
      </c>
      <c r="W235" s="4">
        <v>85</v>
      </c>
    </row>
    <row r="236" spans="1:23" ht="11.25" customHeight="1" x14ac:dyDescent="0.25">
      <c r="A236" s="4" t="s">
        <v>21</v>
      </c>
      <c r="B236" s="4" t="s">
        <v>44</v>
      </c>
      <c r="C236" s="4" t="s">
        <v>23</v>
      </c>
      <c r="D236" s="4" t="s">
        <v>45</v>
      </c>
      <c r="E236" s="4" t="s">
        <v>46</v>
      </c>
      <c r="F236" s="4" t="s">
        <v>25</v>
      </c>
      <c r="G236" s="4" t="s">
        <v>25</v>
      </c>
      <c r="H236" s="4" t="s">
        <v>25</v>
      </c>
      <c r="I236" s="5">
        <v>44562</v>
      </c>
      <c r="J236" s="6">
        <v>0</v>
      </c>
      <c r="K236" s="6">
        <v>0</v>
      </c>
      <c r="L236" s="6">
        <v>41.988</v>
      </c>
      <c r="M236" s="6">
        <v>41.988</v>
      </c>
      <c r="N236" s="6">
        <v>41.988</v>
      </c>
      <c r="O236" s="6">
        <v>41.988</v>
      </c>
      <c r="P236" s="6">
        <v>36</v>
      </c>
      <c r="Q236" s="4" t="s">
        <v>26</v>
      </c>
      <c r="R236" s="4">
        <v>0</v>
      </c>
      <c r="S236" s="4" t="s">
        <v>240</v>
      </c>
      <c r="T236" s="4" t="s">
        <v>392</v>
      </c>
      <c r="U236" s="4">
        <v>0</v>
      </c>
      <c r="V236" s="4">
        <v>34</v>
      </c>
      <c r="W236" s="4">
        <v>85</v>
      </c>
    </row>
    <row r="237" spans="1:23" ht="11.25" customHeight="1" x14ac:dyDescent="0.25">
      <c r="A237" s="4" t="s">
        <v>21</v>
      </c>
      <c r="B237" s="4" t="s">
        <v>44</v>
      </c>
      <c r="C237" s="4" t="s">
        <v>23</v>
      </c>
      <c r="D237" s="4" t="s">
        <v>45</v>
      </c>
      <c r="E237" s="4" t="s">
        <v>46</v>
      </c>
      <c r="F237" s="4" t="s">
        <v>25</v>
      </c>
      <c r="G237" s="4" t="s">
        <v>25</v>
      </c>
      <c r="H237" s="4" t="s">
        <v>25</v>
      </c>
      <c r="I237" s="5">
        <v>44593</v>
      </c>
      <c r="J237" s="6">
        <v>0</v>
      </c>
      <c r="K237" s="6">
        <v>0</v>
      </c>
      <c r="L237" s="6">
        <v>41.677</v>
      </c>
      <c r="M237" s="6">
        <v>41.677</v>
      </c>
      <c r="N237" s="6">
        <v>41.677</v>
      </c>
      <c r="O237" s="6">
        <v>41.677</v>
      </c>
      <c r="P237" s="6">
        <v>36</v>
      </c>
      <c r="Q237" s="4" t="s">
        <v>26</v>
      </c>
      <c r="R237" s="4">
        <v>0</v>
      </c>
      <c r="S237" s="4" t="s">
        <v>241</v>
      </c>
      <c r="T237" s="4" t="s">
        <v>393</v>
      </c>
      <c r="U237" s="4">
        <v>0</v>
      </c>
      <c r="V237" s="4">
        <v>34</v>
      </c>
      <c r="W237" s="4">
        <v>85</v>
      </c>
    </row>
    <row r="238" spans="1:23" ht="11.25" customHeight="1" x14ac:dyDescent="0.25">
      <c r="A238" s="4" t="s">
        <v>21</v>
      </c>
      <c r="B238" s="4" t="s">
        <v>44</v>
      </c>
      <c r="C238" s="4" t="s">
        <v>23</v>
      </c>
      <c r="D238" s="4" t="s">
        <v>45</v>
      </c>
      <c r="E238" s="4" t="s">
        <v>46</v>
      </c>
      <c r="F238" s="4" t="s">
        <v>25</v>
      </c>
      <c r="G238" s="4" t="s">
        <v>25</v>
      </c>
      <c r="H238" s="4" t="s">
        <v>25</v>
      </c>
      <c r="I238" s="5">
        <v>44621</v>
      </c>
      <c r="J238" s="6">
        <v>0</v>
      </c>
      <c r="K238" s="6">
        <v>0</v>
      </c>
      <c r="L238" s="6">
        <v>37.658000000000001</v>
      </c>
      <c r="M238" s="6">
        <v>37.658000000000001</v>
      </c>
      <c r="N238" s="6">
        <v>37.658000000000001</v>
      </c>
      <c r="O238" s="6">
        <v>37.658000000000001</v>
      </c>
      <c r="P238" s="6">
        <v>36</v>
      </c>
      <c r="Q238" s="4" t="s">
        <v>26</v>
      </c>
      <c r="R238" s="4">
        <v>0</v>
      </c>
      <c r="S238" s="4" t="s">
        <v>242</v>
      </c>
      <c r="T238" s="4" t="s">
        <v>394</v>
      </c>
      <c r="U238" s="4">
        <v>0</v>
      </c>
      <c r="V238" s="4">
        <v>34</v>
      </c>
      <c r="W238" s="4">
        <v>85</v>
      </c>
    </row>
    <row r="239" spans="1:23" ht="11.25" customHeight="1" x14ac:dyDescent="0.25">
      <c r="A239" s="4" t="s">
        <v>21</v>
      </c>
      <c r="B239" s="4" t="s">
        <v>44</v>
      </c>
      <c r="C239" s="4" t="s">
        <v>23</v>
      </c>
      <c r="D239" s="4" t="s">
        <v>45</v>
      </c>
      <c r="E239" s="4" t="s">
        <v>46</v>
      </c>
      <c r="F239" s="4" t="s">
        <v>25</v>
      </c>
      <c r="G239" s="4" t="s">
        <v>25</v>
      </c>
      <c r="H239" s="4" t="s">
        <v>25</v>
      </c>
      <c r="I239" s="5">
        <v>44652</v>
      </c>
      <c r="J239" s="6">
        <v>0</v>
      </c>
      <c r="K239" s="6">
        <v>0</v>
      </c>
      <c r="L239" s="6">
        <v>41.695</v>
      </c>
      <c r="M239" s="6">
        <v>41.695</v>
      </c>
      <c r="N239" s="6">
        <v>41.695</v>
      </c>
      <c r="O239" s="6">
        <v>41.695</v>
      </c>
      <c r="P239" s="6">
        <v>36</v>
      </c>
      <c r="Q239" s="4" t="s">
        <v>26</v>
      </c>
      <c r="R239" s="4">
        <v>0</v>
      </c>
      <c r="S239" s="4" t="s">
        <v>243</v>
      </c>
      <c r="T239" s="4" t="s">
        <v>395</v>
      </c>
      <c r="U239" s="4">
        <v>0</v>
      </c>
      <c r="V239" s="4">
        <v>34</v>
      </c>
      <c r="W239" s="4">
        <v>85</v>
      </c>
    </row>
    <row r="240" spans="1:23" ht="11.25" customHeight="1" x14ac:dyDescent="0.25">
      <c r="A240" s="4" t="s">
        <v>21</v>
      </c>
      <c r="B240" s="4" t="s">
        <v>44</v>
      </c>
      <c r="C240" s="4" t="s">
        <v>23</v>
      </c>
      <c r="D240" s="4" t="s">
        <v>45</v>
      </c>
      <c r="E240" s="4" t="s">
        <v>46</v>
      </c>
      <c r="F240" s="4" t="s">
        <v>25</v>
      </c>
      <c r="G240" s="4" t="s">
        <v>25</v>
      </c>
      <c r="H240" s="4" t="s">
        <v>25</v>
      </c>
      <c r="I240" s="5">
        <v>44682</v>
      </c>
      <c r="J240" s="6">
        <v>0</v>
      </c>
      <c r="K240" s="6">
        <v>0</v>
      </c>
      <c r="L240" s="6">
        <v>40.347999999999999</v>
      </c>
      <c r="M240" s="6">
        <v>40.347999999999999</v>
      </c>
      <c r="N240" s="6">
        <v>40.347999999999999</v>
      </c>
      <c r="O240" s="6">
        <v>40.347999999999999</v>
      </c>
      <c r="P240" s="6">
        <v>36</v>
      </c>
      <c r="Q240" s="4" t="s">
        <v>26</v>
      </c>
      <c r="R240" s="4">
        <v>0</v>
      </c>
      <c r="S240" s="4" t="s">
        <v>244</v>
      </c>
      <c r="T240" s="4" t="s">
        <v>396</v>
      </c>
      <c r="U240" s="4">
        <v>0</v>
      </c>
      <c r="V240" s="4">
        <v>34</v>
      </c>
      <c r="W240" s="4">
        <v>85</v>
      </c>
    </row>
    <row r="241" spans="1:23" ht="11.25" customHeight="1" x14ac:dyDescent="0.25">
      <c r="A241" s="4" t="s">
        <v>21</v>
      </c>
      <c r="B241" s="4" t="s">
        <v>44</v>
      </c>
      <c r="C241" s="4" t="s">
        <v>23</v>
      </c>
      <c r="D241" s="4" t="s">
        <v>45</v>
      </c>
      <c r="E241" s="4" t="s">
        <v>46</v>
      </c>
      <c r="F241" s="4" t="s">
        <v>25</v>
      </c>
      <c r="G241" s="4" t="s">
        <v>25</v>
      </c>
      <c r="H241" s="4" t="s">
        <v>25</v>
      </c>
      <c r="I241" s="5">
        <v>44713</v>
      </c>
      <c r="J241" s="6">
        <v>0</v>
      </c>
      <c r="K241" s="6">
        <v>0</v>
      </c>
      <c r="L241" s="6">
        <v>41.695</v>
      </c>
      <c r="M241" s="6">
        <v>41.695</v>
      </c>
      <c r="N241" s="6">
        <v>41.695</v>
      </c>
      <c r="O241" s="6">
        <v>41.695</v>
      </c>
      <c r="P241" s="6">
        <v>36</v>
      </c>
      <c r="Q241" s="4" t="s">
        <v>26</v>
      </c>
      <c r="R241" s="4">
        <v>0</v>
      </c>
      <c r="S241" s="4" t="s">
        <v>245</v>
      </c>
      <c r="T241" s="4" t="s">
        <v>397</v>
      </c>
      <c r="U241" s="4">
        <v>0</v>
      </c>
      <c r="V241" s="4">
        <v>34</v>
      </c>
      <c r="W241" s="4">
        <v>85</v>
      </c>
    </row>
  </sheetData>
  <sortState xmlns:xlrd2="http://schemas.microsoft.com/office/spreadsheetml/2017/richdata2" ref="A2:W241">
    <sortCondition ref="B2:B241"/>
    <sortCondition ref="C2:C241"/>
    <sortCondition ref="D2:D241"/>
    <sortCondition ref="E2:E241"/>
    <sortCondition ref="F2:F241"/>
    <sortCondition ref="H2:H2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29C0-BE7D-4696-908F-8272FFD86664}">
  <dimension ref="A1:AP58"/>
  <sheetViews>
    <sheetView showGridLines="0" topLeftCell="AB30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9.28515625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1" width="11.140625" style="9" bestFit="1" customWidth="1"/>
    <col min="42" max="42" width="10.85546875" style="9" bestFit="1" customWidth="1"/>
    <col min="43" max="16384" width="9.140625" style="9"/>
  </cols>
  <sheetData>
    <row r="1" spans="1:42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517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O1" s="26"/>
      <c r="AP1" s="107" t="s">
        <v>502</v>
      </c>
    </row>
    <row r="2" spans="1:42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O2" s="26"/>
      <c r="AP2" s="108"/>
    </row>
    <row r="3" spans="1:42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/>
      <c r="U3" s="104" t="s">
        <v>409</v>
      </c>
      <c r="V3" s="104"/>
      <c r="W3" s="104"/>
      <c r="X3" s="104"/>
      <c r="Y3" s="104"/>
      <c r="Z3" s="104"/>
      <c r="AA3" s="104"/>
      <c r="AB3" s="104"/>
      <c r="AC3" s="104" t="s">
        <v>417</v>
      </c>
      <c r="AD3" s="104"/>
      <c r="AE3" s="104" t="s">
        <v>419</v>
      </c>
      <c r="AF3" s="104"/>
      <c r="AG3" s="104"/>
      <c r="AH3" s="104" t="s">
        <v>422</v>
      </c>
      <c r="AI3" s="104"/>
      <c r="AJ3" s="104"/>
      <c r="AK3" s="104"/>
      <c r="AL3" s="104"/>
      <c r="AM3" s="104" t="s">
        <v>408</v>
      </c>
      <c r="AO3" s="26"/>
      <c r="AP3" s="108"/>
    </row>
    <row r="4" spans="1:42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408</v>
      </c>
      <c r="U4" s="10" t="s">
        <v>410</v>
      </c>
      <c r="V4" s="10" t="s">
        <v>411</v>
      </c>
      <c r="W4" s="10" t="s">
        <v>412</v>
      </c>
      <c r="X4" s="10" t="s">
        <v>413</v>
      </c>
      <c r="Y4" s="10" t="s">
        <v>414</v>
      </c>
      <c r="Z4" s="10" t="s">
        <v>415</v>
      </c>
      <c r="AA4" s="10" t="s">
        <v>416</v>
      </c>
      <c r="AB4" s="10" t="s">
        <v>408</v>
      </c>
      <c r="AC4" s="10" t="s">
        <v>418</v>
      </c>
      <c r="AD4" s="10" t="s">
        <v>408</v>
      </c>
      <c r="AE4" s="10" t="s">
        <v>420</v>
      </c>
      <c r="AF4" s="10" t="s">
        <v>421</v>
      </c>
      <c r="AG4" s="10" t="s">
        <v>408</v>
      </c>
      <c r="AH4" s="10" t="s">
        <v>423</v>
      </c>
      <c r="AI4" s="10" t="s">
        <v>424</v>
      </c>
      <c r="AJ4" s="10" t="s">
        <v>425</v>
      </c>
      <c r="AK4" s="10" t="s">
        <v>426</v>
      </c>
      <c r="AL4" s="10" t="s">
        <v>408</v>
      </c>
      <c r="AM4" s="106"/>
      <c r="AO4" s="27" t="s">
        <v>519</v>
      </c>
      <c r="AP4" s="109"/>
    </row>
    <row r="5" spans="1:42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>
        <f>'TUSD BE'!$L$5*'TUSD BE'!$L$58</f>
        <v>0</v>
      </c>
      <c r="M5" s="13">
        <f>'TUSD BE'!$M$5*'TUSD BE'!$M$58</f>
        <v>0</v>
      </c>
      <c r="N5" s="13">
        <f ca="1">'TUSD BE'!$N$5*'TUSD BE'!$N$58</f>
        <v>0</v>
      </c>
      <c r="O5" s="13">
        <f>'TUSD BE'!$O$5*'TUSD BE'!$O$58</f>
        <v>0</v>
      </c>
      <c r="P5" s="13">
        <f>'TUSD BE'!$P$5*'TUSD BE'!$P$58</f>
        <v>0</v>
      </c>
      <c r="Q5" s="13">
        <f>'TUSD BE'!$Q$5*'TUSD BE'!$Q$58</f>
        <v>0</v>
      </c>
      <c r="R5" s="13">
        <f>'TUSD BE'!$R$5*'TUSD BE'!$R$58</f>
        <v>0</v>
      </c>
      <c r="S5" s="13">
        <f>'TUSD BE'!$R$5*'TUSD BE'!$S$58</f>
        <v>0</v>
      </c>
      <c r="T5" s="13">
        <f ca="1">SUM($L$5:$S$5)</f>
        <v>0</v>
      </c>
      <c r="U5" s="13">
        <f>'TUSD BE'!$U$5*'TUSD BE'!$U$58</f>
        <v>0</v>
      </c>
      <c r="V5" s="13">
        <f>'TUSD BE'!$V$5*'TUSD BE'!$V$58</f>
        <v>0</v>
      </c>
      <c r="W5" s="13">
        <f>'TUSD BE'!$W$5*'TUSD BE'!$W$58</f>
        <v>0</v>
      </c>
      <c r="X5" s="13">
        <f>'TUSD BE'!$X$5*'TUSD BE'!$X$58</f>
        <v>0</v>
      </c>
      <c r="Y5" s="13">
        <f>'TUSD BE'!$Y$5*'TUSD BE'!$Y$58</f>
        <v>-1.0833766601215515</v>
      </c>
      <c r="Z5" s="13">
        <f>'TUSD BE'!$Z$5*'TUSD BE'!$Z$58</f>
        <v>0</v>
      </c>
      <c r="AA5" s="13">
        <f>'TUSD BE'!$AA$5*'TUSD BE'!$AA$58</f>
        <v>0</v>
      </c>
      <c r="AB5" s="13">
        <f>SUM($U$5:$AA$5)</f>
        <v>-1.0833766601215515</v>
      </c>
      <c r="AC5" s="13">
        <f>'TUSD BE'!$AC$5*'TUSD BE'!$AC$58</f>
        <v>-19.691469066533934</v>
      </c>
      <c r="AD5" s="13">
        <f>SUM($AC$5:$AC$5)</f>
        <v>-19.691469066533934</v>
      </c>
      <c r="AE5" s="13">
        <f ca="1">$AO$5*$AO$55</f>
        <v>-1.4443808675724827</v>
      </c>
      <c r="AF5" s="13">
        <f ca="1">$AP$5*$AP$55</f>
        <v>0</v>
      </c>
      <c r="AG5" s="13">
        <f ca="1">SUM($AE$5:$AF$5)</f>
        <v>-1.4443808675724827</v>
      </c>
      <c r="AH5" s="13">
        <f>'TUSD BE'!$AH$5*'TUSD BE'!$AH$58</f>
        <v>0</v>
      </c>
      <c r="AI5" s="13">
        <f>'TUSD BE'!$AI$5*'TUSD BE'!$AI$58</f>
        <v>0</v>
      </c>
      <c r="AJ5" s="13">
        <f ca="1">'TUSD BE'!$AJ$5*'TUSD BE'!$AJ$58</f>
        <v>0</v>
      </c>
      <c r="AK5" s="13">
        <f ca="1">'TUSD BE'!$AK$5*'TUSD BE'!$AK$58</f>
        <v>0</v>
      </c>
      <c r="AL5" s="13">
        <f ca="1">SUM($AH$5:$AK$5)</f>
        <v>0</v>
      </c>
      <c r="AM5" s="13">
        <f ca="1">SUMIF($L$4:$AL$4,"SUBTOTAL",$L$5:$AL$5)</f>
        <v>-22.219226594227969</v>
      </c>
      <c r="AO5" s="26">
        <f ca="1">+'TUSD BE'!$T$5+'TUSD BE'!$AB$5+'TUSD BE'!$AD$5+'TUSD BE'!$AL$5</f>
        <v>101.02509208636815</v>
      </c>
      <c r="AP5" s="26">
        <f ca="1">+'TUSD BE'!$T$5+'TUSD BE'!$AB$5+'TUSD BE'!$AD$5+'TUSD BE'!$AL$5</f>
        <v>101.02509208636815</v>
      </c>
    </row>
    <row r="6" spans="1:42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>
        <f>'TUSD BE'!$L$6*'TUSD BE'!$L$58</f>
        <v>0</v>
      </c>
      <c r="M6" s="13">
        <f>'TUSD BE'!$M$6*'TUSD BE'!$M$58</f>
        <v>0</v>
      </c>
      <c r="N6" s="13">
        <f ca="1">'TUSD BE'!$N$6*'TUSD BE'!$N$58</f>
        <v>0</v>
      </c>
      <c r="O6" s="13">
        <f>'TUSD BE'!$O$6*'TUSD BE'!$O$58</f>
        <v>0</v>
      </c>
      <c r="P6" s="13">
        <f>'TUSD BE'!$P$6*'TUSD BE'!$P$58</f>
        <v>0</v>
      </c>
      <c r="Q6" s="13">
        <f>'TUSD BE'!$Q$6*'TUSD BE'!$Q$58</f>
        <v>0</v>
      </c>
      <c r="R6" s="13">
        <f>'TUSD BE'!$R$6*'TUSD BE'!$R$58</f>
        <v>0</v>
      </c>
      <c r="S6" s="13">
        <f>'TUSD BE'!$R$6*'TUSD BE'!$S$58</f>
        <v>0</v>
      </c>
      <c r="T6" s="13">
        <f ca="1">SUM($L$6:$S$6)</f>
        <v>0</v>
      </c>
      <c r="U6" s="13">
        <f>'TUSD BE'!$U$6*'TUSD BE'!$U$58</f>
        <v>0</v>
      </c>
      <c r="V6" s="13">
        <f>'TUSD BE'!$V$6*'TUSD BE'!$V$58</f>
        <v>0</v>
      </c>
      <c r="W6" s="13">
        <f>'TUSD BE'!$W$6*'TUSD BE'!$W$58</f>
        <v>0</v>
      </c>
      <c r="X6" s="13">
        <f>'TUSD BE'!$X$6*'TUSD BE'!$X$58</f>
        <v>0</v>
      </c>
      <c r="Y6" s="13">
        <f>'TUSD BE'!$Y$6*'TUSD BE'!$Y$58</f>
        <v>-0.54473871465381607</v>
      </c>
      <c r="Z6" s="13">
        <f>'TUSD BE'!$Z$6*'TUSD BE'!$Z$58</f>
        <v>0</v>
      </c>
      <c r="AA6" s="13">
        <f>'TUSD BE'!$AA$6*'TUSD BE'!$AA$58</f>
        <v>0</v>
      </c>
      <c r="AB6" s="13">
        <f>SUM($U$6:$AA$6)</f>
        <v>-0.54473871465381607</v>
      </c>
      <c r="AC6" s="13">
        <f>'TUSD BE'!$AC$6*'TUSD BE'!$AC$58</f>
        <v>-9.0732264139412067</v>
      </c>
      <c r="AD6" s="13">
        <f>SUM($AC$6:$AC$6)</f>
        <v>-9.0732264139412067</v>
      </c>
      <c r="AE6" s="13">
        <f ca="1">$AO$6*$AO$55</f>
        <v>-0.68626969305865104</v>
      </c>
      <c r="AF6" s="13">
        <f ca="1">$AP$6*$AP$55</f>
        <v>0</v>
      </c>
      <c r="AG6" s="13">
        <f ca="1">SUM($AE$6:$AF$6)</f>
        <v>-0.68626969305865104</v>
      </c>
      <c r="AH6" s="13">
        <f>'TUSD BE'!$AH$6*'TUSD BE'!$AH$58</f>
        <v>0</v>
      </c>
      <c r="AI6" s="13">
        <f>'TUSD BE'!$AI$6*'TUSD BE'!$AI$58</f>
        <v>0</v>
      </c>
      <c r="AJ6" s="13">
        <f ca="1">'TUSD BE'!$AJ$6*'TUSD BE'!$AJ$58</f>
        <v>0</v>
      </c>
      <c r="AK6" s="13">
        <f ca="1">'TUSD BE'!$AK$6*'TUSD BE'!$AK$58</f>
        <v>0</v>
      </c>
      <c r="AL6" s="13">
        <f ca="1">SUM($AH$6:$AK$6)</f>
        <v>0</v>
      </c>
      <c r="AM6" s="13">
        <f ca="1">SUMIF($L$4:$AL$4,"SUBTOTAL",$L$6:$AL$6)</f>
        <v>-10.304234821653674</v>
      </c>
      <c r="AO6" s="26">
        <f ca="1">+'TUSD BE'!$T$6+'TUSD BE'!$AB$6+'TUSD BE'!$AD$6+'TUSD BE'!$AL$6</f>
        <v>48.000122747302072</v>
      </c>
      <c r="AP6" s="26">
        <f ca="1">+'TUSD BE'!$T$6+'TUSD BE'!$AB$6+'TUSD BE'!$AD$6+'TUSD BE'!$AL$6</f>
        <v>48.000122747302072</v>
      </c>
    </row>
    <row r="7" spans="1:42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>
        <f>'TUSD BE'!$L$7*'TUSD BE'!$L$58</f>
        <v>0</v>
      </c>
      <c r="M7" s="13">
        <f>'TUSD BE'!$M$7*'TUSD BE'!$M$58</f>
        <v>3.3322625439001934E-2</v>
      </c>
      <c r="N7" s="13">
        <f ca="1">'TUSD BE'!$N$7*'TUSD BE'!$N$58</f>
        <v>0</v>
      </c>
      <c r="O7" s="13">
        <f>'TUSD BE'!$O$7*'TUSD BE'!$O$58</f>
        <v>0</v>
      </c>
      <c r="P7" s="13">
        <f>'TUSD BE'!$P$7*'TUSD BE'!$P$58</f>
        <v>0</v>
      </c>
      <c r="Q7" s="13">
        <f>'TUSD BE'!$Q$7*'TUSD BE'!$Q$58</f>
        <v>2.3616194565657627</v>
      </c>
      <c r="R7" s="13">
        <f>'TUSD BE'!$R$7*'TUSD BE'!$R$58</f>
        <v>0.38807822486594351</v>
      </c>
      <c r="S7" s="13">
        <f>'TUSD BE'!$R$7*'TUSD BE'!$S$58</f>
        <v>0</v>
      </c>
      <c r="T7" s="13">
        <f ca="1">SUM($L$7:$S$7)</f>
        <v>2.783020306870708</v>
      </c>
      <c r="U7" s="13">
        <f>'TUSD BE'!$U$7*'TUSD BE'!$U$58</f>
        <v>0</v>
      </c>
      <c r="V7" s="13">
        <f>'TUSD BE'!$V$7*'TUSD BE'!$V$58</f>
        <v>0</v>
      </c>
      <c r="W7" s="13">
        <f>'TUSD BE'!$W$7*'TUSD BE'!$W$58</f>
        <v>0</v>
      </c>
      <c r="X7" s="13">
        <f>'TUSD BE'!$X$7*'TUSD BE'!$X$58</f>
        <v>0</v>
      </c>
      <c r="Y7" s="13">
        <f>'TUSD BE'!$Y$7*'TUSD BE'!$Y$58</f>
        <v>0</v>
      </c>
      <c r="Z7" s="13">
        <f>'TUSD BE'!$Z$7*'TUSD BE'!$Z$58</f>
        <v>0</v>
      </c>
      <c r="AA7" s="13">
        <f>'TUSD BE'!$AA$7*'TUSD BE'!$AA$58</f>
        <v>0</v>
      </c>
      <c r="AB7" s="13">
        <f>SUM($U$7:$AA$7)</f>
        <v>0</v>
      </c>
      <c r="AC7" s="13">
        <f>'TUSD BE'!$AC$7*'TUSD BE'!$AC$58</f>
        <v>0</v>
      </c>
      <c r="AD7" s="13">
        <f>SUM($AC$7:$AC$7)</f>
        <v>0</v>
      </c>
      <c r="AE7" s="13">
        <f ca="1">$AO$7*$AO$55</f>
        <v>-1.3689176153697389</v>
      </c>
      <c r="AF7" s="13">
        <f ca="1">$AP$7*$AP$55</f>
        <v>0</v>
      </c>
      <c r="AG7" s="13">
        <f ca="1">SUM($AE$7:$AF$7)</f>
        <v>-1.3689176153697389</v>
      </c>
      <c r="AH7" s="13">
        <f>'TUSD BE'!$AH$7*'TUSD BE'!$AH$58</f>
        <v>-2.2197245468524581E-2</v>
      </c>
      <c r="AI7" s="13">
        <f>'TUSD BE'!$AI$7*'TUSD BE'!$AI$58</f>
        <v>0</v>
      </c>
      <c r="AJ7" s="13">
        <f ca="1">'TUSD BE'!$AJ$7*'TUSD BE'!$AJ$58</f>
        <v>0</v>
      </c>
      <c r="AK7" s="13">
        <f ca="1">'TUSD BE'!$AK$7*'TUSD BE'!$AK$58</f>
        <v>0</v>
      </c>
      <c r="AL7" s="13">
        <f ca="1">SUM($AH$7:$AK$7)</f>
        <v>-2.2197245468524581E-2</v>
      </c>
      <c r="AM7" s="13">
        <f ca="1">SUMIF($L$4:$AL$4,"SUBTOTAL",$L$7:$AL$7)</f>
        <v>1.3919054460324445</v>
      </c>
      <c r="AO7" s="26">
        <f ca="1">+'TUSD BE'!$T$7+'TUSD BE'!$AB$7+'TUSD BE'!$AD$7+'TUSD BE'!$AL$7</f>
        <v>95.746926074842492</v>
      </c>
      <c r="AP7" s="26">
        <f ca="1">+'TUSD BE'!$T$7+'TUSD BE'!$AB$7+'TUSD BE'!$AD$7+'TUSD BE'!$AL$7</f>
        <v>95.746926074842492</v>
      </c>
    </row>
    <row r="8" spans="1:42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>
        <f>'TUSD BE'!$L$8*'TUSD BE'!$L$58</f>
        <v>0</v>
      </c>
      <c r="M8" s="13">
        <f>'TUSD BE'!$M$8*'TUSD BE'!$M$58</f>
        <v>3.3322625439001934E-2</v>
      </c>
      <c r="N8" s="13">
        <f ca="1">'TUSD BE'!$N$8*'TUSD BE'!$N$58</f>
        <v>0</v>
      </c>
      <c r="O8" s="13">
        <f>'TUSD BE'!$O$8*'TUSD BE'!$O$58</f>
        <v>0</v>
      </c>
      <c r="P8" s="13">
        <f>'TUSD BE'!$P$8*'TUSD BE'!$P$58</f>
        <v>0</v>
      </c>
      <c r="Q8" s="13">
        <f>'TUSD BE'!$Q$8*'TUSD BE'!$Q$58</f>
        <v>0</v>
      </c>
      <c r="R8" s="13">
        <f>'TUSD BE'!$R$8*'TUSD BE'!$R$58</f>
        <v>0</v>
      </c>
      <c r="S8" s="13">
        <f>'TUSD BE'!$R$8*'TUSD BE'!$S$58</f>
        <v>0</v>
      </c>
      <c r="T8" s="13">
        <f ca="1">SUM($L$8:$S$8)</f>
        <v>3.3322625439001934E-2</v>
      </c>
      <c r="U8" s="13">
        <f>'TUSD BE'!$U$8*'TUSD BE'!$U$58</f>
        <v>0</v>
      </c>
      <c r="V8" s="13">
        <f>'TUSD BE'!$V$8*'TUSD BE'!$V$58</f>
        <v>0</v>
      </c>
      <c r="W8" s="13">
        <f>'TUSD BE'!$W$8*'TUSD BE'!$W$58</f>
        <v>0</v>
      </c>
      <c r="X8" s="13">
        <f>'TUSD BE'!$X$8*'TUSD BE'!$X$58</f>
        <v>0</v>
      </c>
      <c r="Y8" s="13">
        <f>'TUSD BE'!$Y$8*'TUSD BE'!$Y$58</f>
        <v>0</v>
      </c>
      <c r="Z8" s="13">
        <f>'TUSD BE'!$Z$8*'TUSD BE'!$Z$58</f>
        <v>0</v>
      </c>
      <c r="AA8" s="13">
        <f>'TUSD BE'!$AA$8*'TUSD BE'!$AA$58</f>
        <v>0</v>
      </c>
      <c r="AB8" s="13">
        <f>SUM($U$8:$AA$8)</f>
        <v>0</v>
      </c>
      <c r="AC8" s="13">
        <f>'TUSD BE'!$AC$8*'TUSD BE'!$AC$58</f>
        <v>0</v>
      </c>
      <c r="AD8" s="13">
        <f>SUM($AC$8:$AC$8)</f>
        <v>0</v>
      </c>
      <c r="AE8" s="13">
        <f ca="1">$AO$8*$AO$55</f>
        <v>-7.5481848290659556E-2</v>
      </c>
      <c r="AF8" s="13">
        <f ca="1">$AP$8*$AP$55</f>
        <v>0</v>
      </c>
      <c r="AG8" s="13">
        <f ca="1">SUM($AE$8:$AF$8)</f>
        <v>-7.5481848290659556E-2</v>
      </c>
      <c r="AH8" s="13">
        <f>'TUSD BE'!$AH$8*'TUSD BE'!$AH$58</f>
        <v>-2.2197245468524581E-2</v>
      </c>
      <c r="AI8" s="13">
        <f>'TUSD BE'!$AI$8*'TUSD BE'!$AI$58</f>
        <v>0</v>
      </c>
      <c r="AJ8" s="13">
        <f ca="1">'TUSD BE'!$AJ$8*'TUSD BE'!$AJ$58</f>
        <v>0</v>
      </c>
      <c r="AK8" s="13">
        <f ca="1">'TUSD BE'!$AK$8*'TUSD BE'!$AK$58</f>
        <v>0</v>
      </c>
      <c r="AL8" s="13">
        <f ca="1">SUM($AH$8:$AK$8)</f>
        <v>-2.2197245468524581E-2</v>
      </c>
      <c r="AM8" s="13">
        <f ca="1">SUMIF($L$4:$AL$4,"SUBTOTAL",$L$8:$AL$8)</f>
        <v>-6.43564683201822E-2</v>
      </c>
      <c r="AO8" s="26">
        <f ca="1">+'TUSD BE'!$T$8+'TUSD BE'!$AB$8+'TUSD BE'!$AD$8+'TUSD BE'!$AL$8</f>
        <v>5.2794666875013014</v>
      </c>
      <c r="AP8" s="26">
        <f ca="1">+'TUSD BE'!$T$8+'TUSD BE'!$AB$8+'TUSD BE'!$AD$8+'TUSD BE'!$AL$8</f>
        <v>5.2794666875013014</v>
      </c>
    </row>
    <row r="9" spans="1:42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>
        <f>'TUSD BE'!$L$9*'TUSD BE'!$L$58</f>
        <v>0</v>
      </c>
      <c r="M9" s="13">
        <f>'TUSD BE'!$M$9*'TUSD BE'!$M$58</f>
        <v>4.3334689003704681E-4</v>
      </c>
      <c r="N9" s="13">
        <f ca="1">'TUSD BE'!$N$9*'TUSD BE'!$N$58</f>
        <v>0</v>
      </c>
      <c r="O9" s="13">
        <f>'TUSD BE'!$O$9*'TUSD BE'!$O$58</f>
        <v>0</v>
      </c>
      <c r="P9" s="13">
        <f>'TUSD BE'!$P$9*'TUSD BE'!$P$58</f>
        <v>0</v>
      </c>
      <c r="Q9" s="13">
        <f>'TUSD BE'!$Q$9*'TUSD BE'!$Q$58</f>
        <v>0</v>
      </c>
      <c r="R9" s="13">
        <f>'TUSD BE'!$R$9*'TUSD BE'!$R$58</f>
        <v>0</v>
      </c>
      <c r="S9" s="13">
        <f>'TUSD BE'!$R$9*'TUSD BE'!$S$58</f>
        <v>0</v>
      </c>
      <c r="T9" s="13">
        <f ca="1">SUM($L$9:$S$9)</f>
        <v>4.3334689003704681E-4</v>
      </c>
      <c r="U9" s="13">
        <f>'TUSD BE'!$U$9*'TUSD BE'!$U$58</f>
        <v>0</v>
      </c>
      <c r="V9" s="13">
        <f>'TUSD BE'!$V$9*'TUSD BE'!$V$58</f>
        <v>0</v>
      </c>
      <c r="W9" s="13">
        <f>'TUSD BE'!$W$9*'TUSD BE'!$W$58</f>
        <v>0</v>
      </c>
      <c r="X9" s="13">
        <f>'TUSD BE'!$X$9*'TUSD BE'!$X$58</f>
        <v>0</v>
      </c>
      <c r="Y9" s="13">
        <f>'TUSD BE'!$Y$9*'TUSD BE'!$Y$58</f>
        <v>0</v>
      </c>
      <c r="Z9" s="13">
        <f>'TUSD BE'!$Z$9*'TUSD BE'!$Z$58</f>
        <v>0</v>
      </c>
      <c r="AA9" s="13">
        <f>'TUSD BE'!$AA$9*'TUSD BE'!$AA$58</f>
        <v>0</v>
      </c>
      <c r="AB9" s="13">
        <f>SUM($U$9:$AA$9)</f>
        <v>0</v>
      </c>
      <c r="AC9" s="13">
        <f>'TUSD BE'!$AC$9*'TUSD BE'!$AC$58</f>
        <v>-4.7004545982558579</v>
      </c>
      <c r="AD9" s="13">
        <f>SUM($AC$9:$AC$9)</f>
        <v>-4.7004545982558579</v>
      </c>
      <c r="AE9" s="13">
        <f ca="1">$AO$9*$AO$55</f>
        <v>-0.22721500164454733</v>
      </c>
      <c r="AF9" s="13">
        <f ca="1">$AP$9*$AP$55</f>
        <v>0</v>
      </c>
      <c r="AG9" s="13">
        <f ca="1">SUM($AE$9:$AF$9)</f>
        <v>-0.22721500164454733</v>
      </c>
      <c r="AH9" s="13">
        <f>'TUSD BE'!$AH$9*'TUSD BE'!$AH$58</f>
        <v>0</v>
      </c>
      <c r="AI9" s="13">
        <f>'TUSD BE'!$AI$9*'TUSD BE'!$AI$58</f>
        <v>0</v>
      </c>
      <c r="AJ9" s="13">
        <f ca="1">'TUSD BE'!$AJ$9*'TUSD BE'!$AJ$58</f>
        <v>0</v>
      </c>
      <c r="AK9" s="13">
        <f ca="1">'TUSD BE'!$AK$9*'TUSD BE'!$AK$58</f>
        <v>0</v>
      </c>
      <c r="AL9" s="13">
        <f ca="1">SUM($AH$9:$AK$9)</f>
        <v>0</v>
      </c>
      <c r="AM9" s="13">
        <f ca="1">SUMIF($L$4:$AL$4,"SUBTOTAL",$L$9:$AL$9)</f>
        <v>-4.9272362530103688</v>
      </c>
      <c r="AO9" s="26">
        <f ca="1">+'TUSD BE'!$T$9+'TUSD BE'!$AB$9+'TUSD BE'!$AD$9+'TUSD BE'!$AL$9</f>
        <v>15.892218582985885</v>
      </c>
      <c r="AP9" s="26">
        <f ca="1">+'TUSD BE'!$T$9+'TUSD BE'!$AB$9+'TUSD BE'!$AD$9+'TUSD BE'!$AL$9</f>
        <v>15.892218582985885</v>
      </c>
    </row>
    <row r="10" spans="1:42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>
        <f>'TUSD BE'!$L$10*'TUSD BE'!$L$58</f>
        <v>0</v>
      </c>
      <c r="M10" s="13">
        <f>'TUSD BE'!$M$10*'TUSD BE'!$M$58</f>
        <v>0</v>
      </c>
      <c r="N10" s="13">
        <f ca="1">'TUSD BE'!$N$10*'TUSD BE'!$N$58</f>
        <v>0</v>
      </c>
      <c r="O10" s="13">
        <f>'TUSD BE'!$O$10*'TUSD BE'!$O$58</f>
        <v>0</v>
      </c>
      <c r="P10" s="13">
        <f>'TUSD BE'!$P$10*'TUSD BE'!$P$58</f>
        <v>0</v>
      </c>
      <c r="Q10" s="13">
        <f>'TUSD BE'!$Q$10*'TUSD BE'!$Q$58</f>
        <v>0</v>
      </c>
      <c r="R10" s="13">
        <f>'TUSD BE'!$R$10*'TUSD BE'!$R$58</f>
        <v>0</v>
      </c>
      <c r="S10" s="13">
        <f>'TUSD BE'!$R$10*'TUSD BE'!$S$58</f>
        <v>0</v>
      </c>
      <c r="T10" s="13">
        <f ca="1">SUM($L$10:$S$10)</f>
        <v>0</v>
      </c>
      <c r="U10" s="13">
        <f>'TUSD BE'!$U$10*'TUSD BE'!$U$58</f>
        <v>0</v>
      </c>
      <c r="V10" s="13">
        <f>'TUSD BE'!$V$10*'TUSD BE'!$V$58</f>
        <v>0</v>
      </c>
      <c r="W10" s="13">
        <f>'TUSD BE'!$W$10*'TUSD BE'!$W$58</f>
        <v>0</v>
      </c>
      <c r="X10" s="13">
        <f>'TUSD BE'!$X$10*'TUSD BE'!$X$58</f>
        <v>0</v>
      </c>
      <c r="Y10" s="13">
        <f>'TUSD BE'!$Y$10*'TUSD BE'!$Y$58</f>
        <v>-0.54473871465381607</v>
      </c>
      <c r="Z10" s="13">
        <f>'TUSD BE'!$Z$10*'TUSD BE'!$Z$58</f>
        <v>0</v>
      </c>
      <c r="AA10" s="13">
        <f>'TUSD BE'!$AA$10*'TUSD BE'!$AA$58</f>
        <v>0</v>
      </c>
      <c r="AB10" s="13">
        <f>SUM($U$10:$AA$10)</f>
        <v>-0.54473871465381607</v>
      </c>
      <c r="AC10" s="13">
        <f>'TUSD BE'!$AC$10*'TUSD BE'!$AC$58</f>
        <v>-9.0732264139412067</v>
      </c>
      <c r="AD10" s="13">
        <f>SUM($AC$10:$AC$10)</f>
        <v>-9.0732264139412067</v>
      </c>
      <c r="AE10" s="13">
        <f ca="1">$AO$10*$AO$55</f>
        <v>-0.68626969305865104</v>
      </c>
      <c r="AF10" s="13">
        <f ca="1">$AP$10*$AP$55</f>
        <v>0</v>
      </c>
      <c r="AG10" s="13">
        <f ca="1">SUM($AE$10:$AF$10)</f>
        <v>-0.68626969305865104</v>
      </c>
      <c r="AH10" s="13">
        <f>'TUSD BE'!$AH$10*'TUSD BE'!$AH$58</f>
        <v>0</v>
      </c>
      <c r="AI10" s="13">
        <f>'TUSD BE'!$AI$10*'TUSD BE'!$AI$58</f>
        <v>0</v>
      </c>
      <c r="AJ10" s="13">
        <f ca="1">'TUSD BE'!$AJ$10*'TUSD BE'!$AJ$58</f>
        <v>0</v>
      </c>
      <c r="AK10" s="13">
        <f ca="1">'TUSD BE'!$AK$10*'TUSD BE'!$AK$58</f>
        <v>0</v>
      </c>
      <c r="AL10" s="13">
        <f ca="1">SUM($AH$10:$AK$10)</f>
        <v>0</v>
      </c>
      <c r="AM10" s="13">
        <f ca="1">SUMIF($L$4:$AL$4,"SUBTOTAL",$L$10:$AL$10)</f>
        <v>-10.304234821653674</v>
      </c>
      <c r="AO10" s="26">
        <f ca="1">+'TUSD BE'!$T$10+'TUSD BE'!$AB$10+'TUSD BE'!$AD$10+'TUSD BE'!$AL$10</f>
        <v>48.000122747302072</v>
      </c>
      <c r="AP10" s="26">
        <f ca="1">+'TUSD BE'!$T$10+'TUSD BE'!$AB$10+'TUSD BE'!$AD$10+'TUSD BE'!$AL$10</f>
        <v>48.000122747302072</v>
      </c>
    </row>
    <row r="11" spans="1:42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>
        <f>'TUSD BE'!$L$11*'TUSD BE'!$L$58</f>
        <v>0</v>
      </c>
      <c r="M11" s="13">
        <f>'TUSD BE'!$M$11*'TUSD BE'!$M$58</f>
        <v>3.3322625439001934E-2</v>
      </c>
      <c r="N11" s="13">
        <f ca="1">'TUSD BE'!$N$11*'TUSD BE'!$N$58</f>
        <v>0</v>
      </c>
      <c r="O11" s="13">
        <f>'TUSD BE'!$O$11*'TUSD BE'!$O$58</f>
        <v>0</v>
      </c>
      <c r="P11" s="13">
        <f>'TUSD BE'!$P$11*'TUSD BE'!$P$58</f>
        <v>0</v>
      </c>
      <c r="Q11" s="13">
        <f>'TUSD BE'!$Q$11*'TUSD BE'!$Q$58</f>
        <v>2.3616194565657627</v>
      </c>
      <c r="R11" s="13">
        <f>'TUSD BE'!$R$11*'TUSD BE'!$R$58</f>
        <v>0.38807822486594351</v>
      </c>
      <c r="S11" s="13">
        <f>'TUSD BE'!$R$11*'TUSD BE'!$S$58</f>
        <v>0</v>
      </c>
      <c r="T11" s="13">
        <f ca="1">SUM($L$11:$S$11)</f>
        <v>2.783020306870708</v>
      </c>
      <c r="U11" s="13">
        <f>'TUSD BE'!$U$11*'TUSD BE'!$U$58</f>
        <v>0</v>
      </c>
      <c r="V11" s="13">
        <f>'TUSD BE'!$V$11*'TUSD BE'!$V$58</f>
        <v>0</v>
      </c>
      <c r="W11" s="13">
        <f>'TUSD BE'!$W$11*'TUSD BE'!$W$58</f>
        <v>0</v>
      </c>
      <c r="X11" s="13">
        <f>'TUSD BE'!$X$11*'TUSD BE'!$X$58</f>
        <v>0</v>
      </c>
      <c r="Y11" s="13">
        <f>'TUSD BE'!$Y$11*'TUSD BE'!$Y$58</f>
        <v>-26.057890739502103</v>
      </c>
      <c r="Z11" s="13">
        <f>'TUSD BE'!$Z$11*'TUSD BE'!$Z$58</f>
        <v>0</v>
      </c>
      <c r="AA11" s="13">
        <f>'TUSD BE'!$AA$11*'TUSD BE'!$AA$58</f>
        <v>0</v>
      </c>
      <c r="AB11" s="13">
        <f>SUM($U$11:$AA$11)</f>
        <v>-26.057890739502103</v>
      </c>
      <c r="AC11" s="13">
        <f>'TUSD BE'!$AC$11*'TUSD BE'!$AC$58</f>
        <v>-473.57840910837814</v>
      </c>
      <c r="AD11" s="13">
        <f>SUM($AC$11:$AC$11)</f>
        <v>-473.57840910837814</v>
      </c>
      <c r="AE11" s="13">
        <f ca="1">$AO$11*$AO$55</f>
        <v>-36.107430149056867</v>
      </c>
      <c r="AF11" s="13">
        <f ca="1">$AP$11*$AP$55</f>
        <v>0</v>
      </c>
      <c r="AG11" s="13">
        <f ca="1">SUM($AE$11:$AF$11)</f>
        <v>-36.107430149056867</v>
      </c>
      <c r="AH11" s="13">
        <f>'TUSD BE'!$AH$11*'TUSD BE'!$AH$58</f>
        <v>-2.2197245468524581E-2</v>
      </c>
      <c r="AI11" s="13">
        <f>'TUSD BE'!$AI$11*'TUSD BE'!$AI$58</f>
        <v>0</v>
      </c>
      <c r="AJ11" s="13">
        <f ca="1">'TUSD BE'!$AJ$11*'TUSD BE'!$AJ$58</f>
        <v>0</v>
      </c>
      <c r="AK11" s="13">
        <f ca="1">'TUSD BE'!$AK$11*'TUSD BE'!$AK$58</f>
        <v>0</v>
      </c>
      <c r="AL11" s="13">
        <f ca="1">SUM($AH$11:$AK$11)</f>
        <v>-2.2197245468524581E-2</v>
      </c>
      <c r="AM11" s="13">
        <f ca="1">SUMIF($L$4:$AL$4,"SUBTOTAL",$L$11:$AL$11)</f>
        <v>-532.98290693553497</v>
      </c>
      <c r="AO11" s="26">
        <f ca="1">+'TUSD BE'!$T$11+'TUSD BE'!$AB$11+'TUSD BE'!$AD$11+'TUSD BE'!$AL$11</f>
        <v>2525.4810124570704</v>
      </c>
      <c r="AP11" s="26">
        <f ca="1">+'TUSD BE'!$T$11+'TUSD BE'!$AB$11+'TUSD BE'!$AD$11+'TUSD BE'!$AL$11</f>
        <v>2525.4810124570704</v>
      </c>
    </row>
    <row r="12" spans="1:42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>
        <f>'TUSD BE'!$L$12*'TUSD BE'!$L$58</f>
        <v>0</v>
      </c>
      <c r="M12" s="13">
        <f>'TUSD BE'!$M$12*'TUSD BE'!$M$58</f>
        <v>3.3322625439001934E-2</v>
      </c>
      <c r="N12" s="13">
        <f ca="1">'TUSD BE'!$N$12*'TUSD BE'!$N$58</f>
        <v>0</v>
      </c>
      <c r="O12" s="13">
        <f>'TUSD BE'!$O$12*'TUSD BE'!$O$58</f>
        <v>0</v>
      </c>
      <c r="P12" s="13">
        <f>'TUSD BE'!$P$12*'TUSD BE'!$P$58</f>
        <v>0</v>
      </c>
      <c r="Q12" s="13">
        <f>'TUSD BE'!$Q$12*'TUSD BE'!$Q$58</f>
        <v>2.3616194565657627</v>
      </c>
      <c r="R12" s="13">
        <f>'TUSD BE'!$R$12*'TUSD BE'!$R$58</f>
        <v>0.38807822486594351</v>
      </c>
      <c r="S12" s="13">
        <f>'TUSD BE'!$R$12*'TUSD BE'!$S$58</f>
        <v>0</v>
      </c>
      <c r="T12" s="13">
        <f ca="1">SUM($L$12:$S$12)</f>
        <v>2.783020306870708</v>
      </c>
      <c r="U12" s="13">
        <f>'TUSD BE'!$U$12*'TUSD BE'!$U$58</f>
        <v>0</v>
      </c>
      <c r="V12" s="13">
        <f>'TUSD BE'!$V$12*'TUSD BE'!$V$58</f>
        <v>0</v>
      </c>
      <c r="W12" s="13">
        <f>'TUSD BE'!$W$12*'TUSD BE'!$W$58</f>
        <v>0</v>
      </c>
      <c r="X12" s="13">
        <f>'TUSD BE'!$X$12*'TUSD BE'!$X$58</f>
        <v>0</v>
      </c>
      <c r="Y12" s="13">
        <f>'TUSD BE'!$Y$12*'TUSD BE'!$Y$58</f>
        <v>0</v>
      </c>
      <c r="Z12" s="13">
        <f>'TUSD BE'!$Z$12*'TUSD BE'!$Z$58</f>
        <v>0</v>
      </c>
      <c r="AA12" s="13">
        <f>'TUSD BE'!$AA$12*'TUSD BE'!$AA$58</f>
        <v>0</v>
      </c>
      <c r="AB12" s="13">
        <f>SUM($U$12:$AA$12)</f>
        <v>0</v>
      </c>
      <c r="AC12" s="13">
        <f>'TUSD BE'!$AC$12*'TUSD BE'!$AC$58</f>
        <v>0</v>
      </c>
      <c r="AD12" s="13">
        <f>SUM($AC$12:$AC$12)</f>
        <v>0</v>
      </c>
      <c r="AE12" s="13">
        <f ca="1">$AO$12*$AO$55</f>
        <v>-1.3689176153697389</v>
      </c>
      <c r="AF12" s="13">
        <f ca="1">$AP$12*$AP$55</f>
        <v>0</v>
      </c>
      <c r="AG12" s="13">
        <f ca="1">SUM($AE$12:$AF$12)</f>
        <v>-1.3689176153697389</v>
      </c>
      <c r="AH12" s="13">
        <f>'TUSD BE'!$AH$12*'TUSD BE'!$AH$58</f>
        <v>-2.2197245468524581E-2</v>
      </c>
      <c r="AI12" s="13">
        <f>'TUSD BE'!$AI$12*'TUSD BE'!$AI$58</f>
        <v>0</v>
      </c>
      <c r="AJ12" s="13">
        <f ca="1">'TUSD BE'!$AJ$12*'TUSD BE'!$AJ$58</f>
        <v>0</v>
      </c>
      <c r="AK12" s="13">
        <f ca="1">'TUSD BE'!$AK$12*'TUSD BE'!$AK$58</f>
        <v>0</v>
      </c>
      <c r="AL12" s="13">
        <f ca="1">SUM($AH$12:$AK$12)</f>
        <v>-2.2197245468524581E-2</v>
      </c>
      <c r="AM12" s="13">
        <f ca="1">SUMIF($L$4:$AL$4,"SUBTOTAL",$L$12:$AL$12)</f>
        <v>1.3919054460324445</v>
      </c>
      <c r="AO12" s="26">
        <f ca="1">+'TUSD BE'!$T$12+'TUSD BE'!$AB$12+'TUSD BE'!$AD$12+'TUSD BE'!$AL$12</f>
        <v>95.746926074842492</v>
      </c>
      <c r="AP12" s="26">
        <f ca="1">+'TUSD BE'!$T$12+'TUSD BE'!$AB$12+'TUSD BE'!$AD$12+'TUSD BE'!$AL$12</f>
        <v>95.746926074842492</v>
      </c>
    </row>
    <row r="13" spans="1:42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>
        <f>'TUSD BE'!$L$13*'TUSD BE'!$L$58</f>
        <v>0</v>
      </c>
      <c r="M13" s="13">
        <f>'TUSD BE'!$M$13*'TUSD BE'!$M$58</f>
        <v>3.3322625439001934E-2</v>
      </c>
      <c r="N13" s="13">
        <f ca="1">'TUSD BE'!$N$13*'TUSD BE'!$N$58</f>
        <v>0</v>
      </c>
      <c r="O13" s="13">
        <f>'TUSD BE'!$O$13*'TUSD BE'!$O$58</f>
        <v>0</v>
      </c>
      <c r="P13" s="13">
        <f>'TUSD BE'!$P$13*'TUSD BE'!$P$58</f>
        <v>0</v>
      </c>
      <c r="Q13" s="13">
        <f>'TUSD BE'!$Q$13*'TUSD BE'!$Q$58</f>
        <v>0</v>
      </c>
      <c r="R13" s="13">
        <f>'TUSD BE'!$R$13*'TUSD BE'!$R$58</f>
        <v>0</v>
      </c>
      <c r="S13" s="13">
        <f>'TUSD BE'!$R$13*'TUSD BE'!$S$58</f>
        <v>0</v>
      </c>
      <c r="T13" s="13">
        <f ca="1">SUM($L$13:$S$13)</f>
        <v>3.3322625439001934E-2</v>
      </c>
      <c r="U13" s="13">
        <f>'TUSD BE'!$U$13*'TUSD BE'!$U$58</f>
        <v>0</v>
      </c>
      <c r="V13" s="13">
        <f>'TUSD BE'!$V$13*'TUSD BE'!$V$58</f>
        <v>0</v>
      </c>
      <c r="W13" s="13">
        <f>'TUSD BE'!$W$13*'TUSD BE'!$W$58</f>
        <v>0</v>
      </c>
      <c r="X13" s="13">
        <f>'TUSD BE'!$X$13*'TUSD BE'!$X$58</f>
        <v>0</v>
      </c>
      <c r="Y13" s="13">
        <f>'TUSD BE'!$Y$13*'TUSD BE'!$Y$58</f>
        <v>-26.057890739502103</v>
      </c>
      <c r="Z13" s="13">
        <f>'TUSD BE'!$Z$13*'TUSD BE'!$Z$58</f>
        <v>0</v>
      </c>
      <c r="AA13" s="13">
        <f>'TUSD BE'!$AA$13*'TUSD BE'!$AA$58</f>
        <v>0</v>
      </c>
      <c r="AB13" s="13">
        <f>SUM($U$13:$AA$13)</f>
        <v>-26.057890739502103</v>
      </c>
      <c r="AC13" s="13">
        <f>'TUSD BE'!$AC$13*'TUSD BE'!$AC$58</f>
        <v>-473.57840910837814</v>
      </c>
      <c r="AD13" s="13">
        <f>SUM($AC$13:$AC$13)</f>
        <v>-473.57840910837814</v>
      </c>
      <c r="AE13" s="13">
        <f ca="1">$AO$13*$AO$55</f>
        <v>-34.813994381977786</v>
      </c>
      <c r="AF13" s="13">
        <f ca="1">$AP$13*$AP$55</f>
        <v>0</v>
      </c>
      <c r="AG13" s="13">
        <f ca="1">SUM($AE$13:$AF$13)</f>
        <v>-34.813994381977786</v>
      </c>
      <c r="AH13" s="13">
        <f>'TUSD BE'!$AH$13*'TUSD BE'!$AH$58</f>
        <v>-2.2197245468524581E-2</v>
      </c>
      <c r="AI13" s="13">
        <f>'TUSD BE'!$AI$13*'TUSD BE'!$AI$58</f>
        <v>0</v>
      </c>
      <c r="AJ13" s="13">
        <f ca="1">'TUSD BE'!$AJ$13*'TUSD BE'!$AJ$58</f>
        <v>0</v>
      </c>
      <c r="AK13" s="13">
        <f ca="1">'TUSD BE'!$AK$13*'TUSD BE'!$AK$58</f>
        <v>0</v>
      </c>
      <c r="AL13" s="13">
        <f ca="1">SUM($AH$13:$AK$13)</f>
        <v>-2.2197245468524581E-2</v>
      </c>
      <c r="AM13" s="13">
        <f ca="1">SUMIF($L$4:$AL$4,"SUBTOTAL",$L$13:$AL$13)</f>
        <v>-534.43916884988755</v>
      </c>
      <c r="AO13" s="26">
        <f ca="1">+'TUSD BE'!$T$13+'TUSD BE'!$AB$13+'TUSD BE'!$AD$13+'TUSD BE'!$AL$13</f>
        <v>2435.0135530697294</v>
      </c>
      <c r="AP13" s="26">
        <f ca="1">+'TUSD BE'!$T$13+'TUSD BE'!$AB$13+'TUSD BE'!$AD$13+'TUSD BE'!$AL$13</f>
        <v>2435.0135530697294</v>
      </c>
    </row>
    <row r="14" spans="1:42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>
        <f>'TUSD BE'!$L$14*'TUSD BE'!$L$58</f>
        <v>0</v>
      </c>
      <c r="M14" s="13">
        <f>'TUSD BE'!$M$14*'TUSD BE'!$M$58</f>
        <v>3.3322625439001934E-2</v>
      </c>
      <c r="N14" s="13">
        <f ca="1">'TUSD BE'!$N$14*'TUSD BE'!$N$58</f>
        <v>0</v>
      </c>
      <c r="O14" s="13">
        <f>'TUSD BE'!$O$14*'TUSD BE'!$O$58</f>
        <v>0</v>
      </c>
      <c r="P14" s="13">
        <f>'TUSD BE'!$P$14*'TUSD BE'!$P$58</f>
        <v>0</v>
      </c>
      <c r="Q14" s="13">
        <f>'TUSD BE'!$Q$14*'TUSD BE'!$Q$58</f>
        <v>0</v>
      </c>
      <c r="R14" s="13">
        <f>'TUSD BE'!$R$14*'TUSD BE'!$R$58</f>
        <v>0</v>
      </c>
      <c r="S14" s="13">
        <f>'TUSD BE'!$R$14*'TUSD BE'!$S$58</f>
        <v>0</v>
      </c>
      <c r="T14" s="13">
        <f ca="1">SUM($L$14:$S$14)</f>
        <v>3.3322625439001934E-2</v>
      </c>
      <c r="U14" s="13">
        <f>'TUSD BE'!$U$14*'TUSD BE'!$U$58</f>
        <v>0</v>
      </c>
      <c r="V14" s="13">
        <f>'TUSD BE'!$V$14*'TUSD BE'!$V$58</f>
        <v>0</v>
      </c>
      <c r="W14" s="13">
        <f>'TUSD BE'!$W$14*'TUSD BE'!$W$58</f>
        <v>0</v>
      </c>
      <c r="X14" s="13">
        <f>'TUSD BE'!$X$14*'TUSD BE'!$X$58</f>
        <v>0</v>
      </c>
      <c r="Y14" s="13">
        <f>'TUSD BE'!$Y$14*'TUSD BE'!$Y$58</f>
        <v>0</v>
      </c>
      <c r="Z14" s="13">
        <f>'TUSD BE'!$Z$14*'TUSD BE'!$Z$58</f>
        <v>0</v>
      </c>
      <c r="AA14" s="13">
        <f>'TUSD BE'!$AA$14*'TUSD BE'!$AA$58</f>
        <v>0</v>
      </c>
      <c r="AB14" s="13">
        <f>SUM($U$14:$AA$14)</f>
        <v>0</v>
      </c>
      <c r="AC14" s="13">
        <f>'TUSD BE'!$AC$14*'TUSD BE'!$AC$58</f>
        <v>0</v>
      </c>
      <c r="AD14" s="13">
        <f>SUM($AC$14:$AC$14)</f>
        <v>0</v>
      </c>
      <c r="AE14" s="13">
        <f ca="1">$AO$14*$AO$55</f>
        <v>-7.5481848290659556E-2</v>
      </c>
      <c r="AF14" s="13">
        <f ca="1">$AP$14*$AP$55</f>
        <v>0</v>
      </c>
      <c r="AG14" s="13">
        <f ca="1">SUM($AE$14:$AF$14)</f>
        <v>-7.5481848290659556E-2</v>
      </c>
      <c r="AH14" s="13">
        <f>'TUSD BE'!$AH$14*'TUSD BE'!$AH$58</f>
        <v>-2.2197245468524581E-2</v>
      </c>
      <c r="AI14" s="13">
        <f>'TUSD BE'!$AI$14*'TUSD BE'!$AI$58</f>
        <v>0</v>
      </c>
      <c r="AJ14" s="13">
        <f ca="1">'TUSD BE'!$AJ$14*'TUSD BE'!$AJ$58</f>
        <v>0</v>
      </c>
      <c r="AK14" s="13">
        <f ca="1">'TUSD BE'!$AK$14*'TUSD BE'!$AK$58</f>
        <v>0</v>
      </c>
      <c r="AL14" s="13">
        <f ca="1">SUM($AH$14:$AK$14)</f>
        <v>-2.2197245468524581E-2</v>
      </c>
      <c r="AM14" s="13">
        <f ca="1">SUMIF($L$4:$AL$4,"SUBTOTAL",$L$14:$AL$14)</f>
        <v>-6.43564683201822E-2</v>
      </c>
      <c r="AO14" s="26">
        <f ca="1">+'TUSD BE'!$T$14+'TUSD BE'!$AB$14+'TUSD BE'!$AD$14+'TUSD BE'!$AL$14</f>
        <v>5.2794666875013014</v>
      </c>
      <c r="AP14" s="26">
        <f ca="1">+'TUSD BE'!$T$14+'TUSD BE'!$AB$14+'TUSD BE'!$AD$14+'TUSD BE'!$AL$14</f>
        <v>5.2794666875013014</v>
      </c>
    </row>
    <row r="15" spans="1:42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>
        <f>'TUSD BE'!$L$15*'TUSD BE'!$L$58</f>
        <v>0</v>
      </c>
      <c r="M15" s="13">
        <f>'TUSD BE'!$M$15*'TUSD BE'!$M$58</f>
        <v>1.7206420633823918E-4</v>
      </c>
      <c r="N15" s="13">
        <f ca="1">'TUSD BE'!$N$15*'TUSD BE'!$N$58</f>
        <v>0</v>
      </c>
      <c r="O15" s="13">
        <f>'TUSD BE'!$O$15*'TUSD BE'!$O$58</f>
        <v>0</v>
      </c>
      <c r="P15" s="13">
        <f>'TUSD BE'!$P$15*'TUSD BE'!$P$58</f>
        <v>0</v>
      </c>
      <c r="Q15" s="13">
        <f>'TUSD BE'!$Q$15*'TUSD BE'!$Q$58</f>
        <v>0</v>
      </c>
      <c r="R15" s="13">
        <f>'TUSD BE'!$R$15*'TUSD BE'!$R$58</f>
        <v>0</v>
      </c>
      <c r="S15" s="13">
        <f>'TUSD BE'!$R$15*'TUSD BE'!$S$58</f>
        <v>0</v>
      </c>
      <c r="T15" s="13">
        <f ca="1">SUM($L$15:$S$15)</f>
        <v>1.7206420633823918E-4</v>
      </c>
      <c r="U15" s="13">
        <f>'TUSD BE'!$U$15*'TUSD BE'!$U$58</f>
        <v>0</v>
      </c>
      <c r="V15" s="13">
        <f>'TUSD BE'!$V$15*'TUSD BE'!$V$58</f>
        <v>0</v>
      </c>
      <c r="W15" s="13">
        <f>'TUSD BE'!$W$15*'TUSD BE'!$W$58</f>
        <v>0</v>
      </c>
      <c r="X15" s="13">
        <f>'TUSD BE'!$X$15*'TUSD BE'!$X$58</f>
        <v>0</v>
      </c>
      <c r="Y15" s="13">
        <f>'TUSD BE'!$Y$15*'TUSD BE'!$Y$58</f>
        <v>0</v>
      </c>
      <c r="Z15" s="13">
        <f>'TUSD BE'!$Z$15*'TUSD BE'!$Z$58</f>
        <v>0</v>
      </c>
      <c r="AA15" s="13">
        <f>'TUSD BE'!$AA$15*'TUSD BE'!$AA$58</f>
        <v>0</v>
      </c>
      <c r="AB15" s="13">
        <f>SUM($U$15:$AA$15)</f>
        <v>0</v>
      </c>
      <c r="AC15" s="13">
        <f>'TUSD BE'!$AC$15*'TUSD BE'!$AC$58</f>
        <v>-1.8570525036368037</v>
      </c>
      <c r="AD15" s="13">
        <f>SUM($AC$15:$AC$15)</f>
        <v>-1.8570525036368037</v>
      </c>
      <c r="AE15" s="13">
        <f ca="1">$AO$15*$AO$55</f>
        <v>-8.9768343482038868E-2</v>
      </c>
      <c r="AF15" s="13">
        <f ca="1">$AP$15*$AP$55</f>
        <v>0</v>
      </c>
      <c r="AG15" s="13">
        <f ca="1">SUM($AE$15:$AF$15)</f>
        <v>-8.9768343482038868E-2</v>
      </c>
      <c r="AH15" s="13">
        <f>'TUSD BE'!$AH$15*'TUSD BE'!$AH$58</f>
        <v>0</v>
      </c>
      <c r="AI15" s="13">
        <f>'TUSD BE'!$AI$15*'TUSD BE'!$AI$58</f>
        <v>0</v>
      </c>
      <c r="AJ15" s="13">
        <f ca="1">'TUSD BE'!$AJ$15*'TUSD BE'!$AJ$58</f>
        <v>0</v>
      </c>
      <c r="AK15" s="13">
        <f ca="1">'TUSD BE'!$AK$15*'TUSD BE'!$AK$58</f>
        <v>0</v>
      </c>
      <c r="AL15" s="13">
        <f ca="1">SUM($AH$15:$AK$15)</f>
        <v>0</v>
      </c>
      <c r="AM15" s="13">
        <f ca="1">SUMIF($L$4:$AL$4,"SUBTOTAL",$L$15:$AL$15)</f>
        <v>-1.9466487829125043</v>
      </c>
      <c r="AO15" s="26">
        <f ca="1">+'TUSD BE'!$T$15+'TUSD BE'!$AB$15+'TUSD BE'!$AD$15+'TUSD BE'!$AL$15</f>
        <v>6.2787145484385922</v>
      </c>
      <c r="AP15" s="26">
        <f ca="1">+'TUSD BE'!$T$15+'TUSD BE'!$AB$15+'TUSD BE'!$AD$15+'TUSD BE'!$AL$15</f>
        <v>6.2787145484385922</v>
      </c>
    </row>
    <row r="16" spans="1:42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>
        <f>'TUSD BE'!$L$16*'TUSD BE'!$L$58</f>
        <v>0</v>
      </c>
      <c r="M16" s="13">
        <f>'TUSD BE'!$M$16*'TUSD BE'!$M$58</f>
        <v>1.7206420633823918E-4</v>
      </c>
      <c r="N16" s="13">
        <f ca="1">'TUSD BE'!$N$16*'TUSD BE'!$N$58</f>
        <v>0</v>
      </c>
      <c r="O16" s="13">
        <f>'TUSD BE'!$O$16*'TUSD BE'!$O$58</f>
        <v>0</v>
      </c>
      <c r="P16" s="13">
        <f>'TUSD BE'!$P$16*'TUSD BE'!$P$58</f>
        <v>0</v>
      </c>
      <c r="Q16" s="13">
        <f>'TUSD BE'!$Q$16*'TUSD BE'!$Q$58</f>
        <v>0</v>
      </c>
      <c r="R16" s="13">
        <f>'TUSD BE'!$R$16*'TUSD BE'!$R$58</f>
        <v>0</v>
      </c>
      <c r="S16" s="13">
        <f>'TUSD BE'!$R$16*'TUSD BE'!$S$58</f>
        <v>0</v>
      </c>
      <c r="T16" s="13">
        <f ca="1">SUM($L$16:$S$16)</f>
        <v>1.7206420633823918E-4</v>
      </c>
      <c r="U16" s="13">
        <f>'TUSD BE'!$U$16*'TUSD BE'!$U$58</f>
        <v>0</v>
      </c>
      <c r="V16" s="13">
        <f>'TUSD BE'!$V$16*'TUSD BE'!$V$58</f>
        <v>0</v>
      </c>
      <c r="W16" s="13">
        <f>'TUSD BE'!$W$16*'TUSD BE'!$W$58</f>
        <v>0</v>
      </c>
      <c r="X16" s="13">
        <f>'TUSD BE'!$X$16*'TUSD BE'!$X$58</f>
        <v>0</v>
      </c>
      <c r="Y16" s="13">
        <f>'TUSD BE'!$Y$16*'TUSD BE'!$Y$58</f>
        <v>0</v>
      </c>
      <c r="Z16" s="13">
        <f>'TUSD BE'!$Z$16*'TUSD BE'!$Z$58</f>
        <v>0</v>
      </c>
      <c r="AA16" s="13">
        <f>'TUSD BE'!$AA$16*'TUSD BE'!$AA$58</f>
        <v>0</v>
      </c>
      <c r="AB16" s="13">
        <f>SUM($U$16:$AA$16)</f>
        <v>0</v>
      </c>
      <c r="AC16" s="13">
        <f>'TUSD BE'!$AC$16*'TUSD BE'!$AC$58</f>
        <v>-8.3247726661558072</v>
      </c>
      <c r="AD16" s="13">
        <f>SUM($AC$16:$AC$16)</f>
        <v>-8.3247726661558072</v>
      </c>
      <c r="AE16" s="13">
        <f ca="1">$AO$16*$AO$55</f>
        <v>-0.40213969225288509</v>
      </c>
      <c r="AF16" s="13">
        <f ca="1">$AP$16*$AP$55</f>
        <v>0</v>
      </c>
      <c r="AG16" s="13">
        <f ca="1">SUM($AE$16:$AF$16)</f>
        <v>-0.40213969225288509</v>
      </c>
      <c r="AH16" s="13">
        <f>'TUSD BE'!$AH$16*'TUSD BE'!$AH$58</f>
        <v>0</v>
      </c>
      <c r="AI16" s="13">
        <f>'TUSD BE'!$AI$16*'TUSD BE'!$AI$58</f>
        <v>0</v>
      </c>
      <c r="AJ16" s="13">
        <f ca="1">'TUSD BE'!$AJ$16*'TUSD BE'!$AJ$58</f>
        <v>0</v>
      </c>
      <c r="AK16" s="13">
        <f ca="1">'TUSD BE'!$AK$16*'TUSD BE'!$AK$58</f>
        <v>0</v>
      </c>
      <c r="AL16" s="13">
        <f ca="1">SUM($AH$16:$AK$16)</f>
        <v>0</v>
      </c>
      <c r="AM16" s="13">
        <f ca="1">SUMIF($L$4:$AL$4,"SUBTOTAL",$L$16:$AL$16)</f>
        <v>-8.7267402942023526</v>
      </c>
      <c r="AO16" s="26">
        <f ca="1">+'TUSD BE'!$T$16+'TUSD BE'!$AB$16+'TUSD BE'!$AD$16+'TUSD BE'!$AL$16</f>
        <v>28.127068388624124</v>
      </c>
      <c r="AP16" s="26">
        <f ca="1">+'TUSD BE'!$T$16+'TUSD BE'!$AB$16+'TUSD BE'!$AD$16+'TUSD BE'!$AL$16</f>
        <v>28.127068388624124</v>
      </c>
    </row>
    <row r="17" spans="1:42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>
        <f>'TUSD BE'!$L$17*'TUSD BE'!$L$58</f>
        <v>0</v>
      </c>
      <c r="M17" s="13">
        <f>'TUSD BE'!$M$17*'TUSD BE'!$M$58</f>
        <v>8.596018457734729E-2</v>
      </c>
      <c r="N17" s="13">
        <f ca="1">'TUSD BE'!$N$17*'TUSD BE'!$N$58</f>
        <v>0</v>
      </c>
      <c r="O17" s="13">
        <f>'TUSD BE'!$O$17*'TUSD BE'!$O$58</f>
        <v>0</v>
      </c>
      <c r="P17" s="13">
        <f>'TUSD BE'!$P$17*'TUSD BE'!$P$58</f>
        <v>0</v>
      </c>
      <c r="Q17" s="13">
        <f>'TUSD BE'!$Q$17*'TUSD BE'!$Q$58</f>
        <v>2.8114517340068605</v>
      </c>
      <c r="R17" s="13">
        <f>'TUSD BE'!$R$17*'TUSD BE'!$R$58</f>
        <v>0.38807822486594351</v>
      </c>
      <c r="S17" s="13">
        <f>'TUSD BE'!$R$17*'TUSD BE'!$S$58</f>
        <v>0</v>
      </c>
      <c r="T17" s="13">
        <f ca="1">SUM($L$17:$S$17)</f>
        <v>3.2854901434501511</v>
      </c>
      <c r="U17" s="13">
        <f>'TUSD BE'!$U$17*'TUSD BE'!$U$58</f>
        <v>0</v>
      </c>
      <c r="V17" s="13">
        <f>'TUSD BE'!$V$17*'TUSD BE'!$V$58</f>
        <v>0</v>
      </c>
      <c r="W17" s="13">
        <f>'TUSD BE'!$W$17*'TUSD BE'!$W$58</f>
        <v>0</v>
      </c>
      <c r="X17" s="13">
        <f>'TUSD BE'!$X$17*'TUSD BE'!$X$58</f>
        <v>0</v>
      </c>
      <c r="Y17" s="13">
        <f>'TUSD BE'!$Y$17*'TUSD BE'!$Y$58</f>
        <v>-13.112281876832911</v>
      </c>
      <c r="Z17" s="13">
        <f>'TUSD BE'!$Z$17*'TUSD BE'!$Z$58</f>
        <v>0</v>
      </c>
      <c r="AA17" s="13">
        <f>'TUSD BE'!$AA$17*'TUSD BE'!$AA$58</f>
        <v>0</v>
      </c>
      <c r="AB17" s="13">
        <f>SUM($U$17:$AA$17)</f>
        <v>-13.112281876832911</v>
      </c>
      <c r="AC17" s="13">
        <f>'TUSD BE'!$AC$17*'TUSD BE'!$AC$58</f>
        <v>-496.79770365304472</v>
      </c>
      <c r="AD17" s="13">
        <f>SUM($AC$17:$AC$17)</f>
        <v>-496.79770365304472</v>
      </c>
      <c r="AE17" s="13">
        <f ca="1">$AO$17*$AO$55</f>
        <v>-31.855568870609716</v>
      </c>
      <c r="AF17" s="13">
        <f ca="1">$AP$17*$AP$55</f>
        <v>0</v>
      </c>
      <c r="AG17" s="13">
        <f ca="1">SUM($AE$17:$AF$17)</f>
        <v>-31.855568870609716</v>
      </c>
      <c r="AH17" s="13">
        <f>'TUSD BE'!$AH$17*'TUSD BE'!$AH$58</f>
        <v>-0.12911565954765369</v>
      </c>
      <c r="AI17" s="13">
        <f>'TUSD BE'!$AI$17*'TUSD BE'!$AI$58</f>
        <v>0</v>
      </c>
      <c r="AJ17" s="13">
        <f ca="1">'TUSD BE'!$AJ$17*'TUSD BE'!$AJ$58</f>
        <v>0</v>
      </c>
      <c r="AK17" s="13">
        <f ca="1">'TUSD BE'!$AK$17*'TUSD BE'!$AK$58</f>
        <v>0</v>
      </c>
      <c r="AL17" s="13">
        <f ca="1">SUM($AH$17:$AK$17)</f>
        <v>-0.12911565954765369</v>
      </c>
      <c r="AM17" s="13">
        <f ca="1">SUMIF($L$4:$AL$4,"SUBTOTAL",$L$17:$AL$17)</f>
        <v>-538.60917991658482</v>
      </c>
      <c r="AO17" s="26">
        <f ca="1">+'TUSD BE'!$T$17+'TUSD BE'!$AB$17+'TUSD BE'!$AD$17+'TUSD BE'!$AL$17</f>
        <v>2228.0908386897413</v>
      </c>
      <c r="AP17" s="26">
        <f ca="1">+'TUSD BE'!$T$17+'TUSD BE'!$AB$17+'TUSD BE'!$AD$17+'TUSD BE'!$AL$17</f>
        <v>2228.0908386897413</v>
      </c>
    </row>
    <row r="18" spans="1:42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>
        <f>'TUSD BE'!$L$18*'TUSD BE'!$L$58</f>
        <v>0</v>
      </c>
      <c r="M18" s="13">
        <f>'TUSD BE'!$M$18*'TUSD BE'!$M$58</f>
        <v>8.596018457734729E-2</v>
      </c>
      <c r="N18" s="13">
        <f ca="1">'TUSD BE'!$N$18*'TUSD BE'!$N$58</f>
        <v>0</v>
      </c>
      <c r="O18" s="13">
        <f>'TUSD BE'!$O$18*'TUSD BE'!$O$58</f>
        <v>0</v>
      </c>
      <c r="P18" s="13">
        <f>'TUSD BE'!$P$18*'TUSD BE'!$P$58</f>
        <v>0</v>
      </c>
      <c r="Q18" s="13">
        <f>'TUSD BE'!$Q$18*'TUSD BE'!$Q$58</f>
        <v>2.8114517340068605</v>
      </c>
      <c r="R18" s="13">
        <f>'TUSD BE'!$R$18*'TUSD BE'!$R$58</f>
        <v>0.38807822486594351</v>
      </c>
      <c r="S18" s="13">
        <f>'TUSD BE'!$R$18*'TUSD BE'!$S$58</f>
        <v>0</v>
      </c>
      <c r="T18" s="13">
        <f ca="1">SUM($L$18:$S$18)</f>
        <v>3.2854901434501511</v>
      </c>
      <c r="U18" s="13">
        <f>'TUSD BE'!$U$18*'TUSD BE'!$U$58</f>
        <v>0</v>
      </c>
      <c r="V18" s="13">
        <f>'TUSD BE'!$V$18*'TUSD BE'!$V$58</f>
        <v>0</v>
      </c>
      <c r="W18" s="13">
        <f>'TUSD BE'!$W$18*'TUSD BE'!$W$58</f>
        <v>0</v>
      </c>
      <c r="X18" s="13">
        <f>'TUSD BE'!$X$18*'TUSD BE'!$X$58</f>
        <v>0</v>
      </c>
      <c r="Y18" s="13">
        <f>'TUSD BE'!$Y$18*'TUSD BE'!$Y$58</f>
        <v>-7.8661497994854717</v>
      </c>
      <c r="Z18" s="13">
        <f>'TUSD BE'!$Z$18*'TUSD BE'!$Z$58</f>
        <v>0</v>
      </c>
      <c r="AA18" s="13">
        <f>'TUSD BE'!$AA$18*'TUSD BE'!$AA$58</f>
        <v>0</v>
      </c>
      <c r="AB18" s="13">
        <f>SUM($U$18:$AA$18)</f>
        <v>-7.8661497994854717</v>
      </c>
      <c r="AC18" s="13">
        <f>'TUSD BE'!$AC$18*'TUSD BE'!$AC$58</f>
        <v>-298.07857404869583</v>
      </c>
      <c r="AD18" s="13">
        <f>SUM($AC$18:$AC$18)</f>
        <v>-298.07857404869583</v>
      </c>
      <c r="AE18" s="13">
        <f ca="1">$AO$18*$AO$55</f>
        <v>-19.869078980246105</v>
      </c>
      <c r="AF18" s="13">
        <f ca="1">$AP$18*$AP$55</f>
        <v>0</v>
      </c>
      <c r="AG18" s="13">
        <f ca="1">SUM($AE$18:$AF$18)</f>
        <v>-19.869078980246105</v>
      </c>
      <c r="AH18" s="13">
        <f>'TUSD BE'!$AH$18*'TUSD BE'!$AH$58</f>
        <v>-0.12911565954765369</v>
      </c>
      <c r="AI18" s="13">
        <f>'TUSD BE'!$AI$18*'TUSD BE'!$AI$58</f>
        <v>0</v>
      </c>
      <c r="AJ18" s="13">
        <f ca="1">'TUSD BE'!$AJ$18*'TUSD BE'!$AJ$58</f>
        <v>0</v>
      </c>
      <c r="AK18" s="13">
        <f ca="1">'TUSD BE'!$AK$18*'TUSD BE'!$AK$58</f>
        <v>0</v>
      </c>
      <c r="AL18" s="13">
        <f ca="1">SUM($AH$18:$AK$18)</f>
        <v>-0.12911565954765369</v>
      </c>
      <c r="AM18" s="13">
        <f ca="1">SUMIF($L$4:$AL$4,"SUBTOTAL",$L$18:$AL$18)</f>
        <v>-322.65742834452493</v>
      </c>
      <c r="AO18" s="26">
        <f ca="1">+'TUSD BE'!$T$18+'TUSD BE'!$AB$18+'TUSD BE'!$AD$18+'TUSD BE'!$AL$18</f>
        <v>1389.7134604283688</v>
      </c>
      <c r="AP18" s="26">
        <f ca="1">+'TUSD BE'!$T$18+'TUSD BE'!$AB$18+'TUSD BE'!$AD$18+'TUSD BE'!$AL$18</f>
        <v>1389.7134604283688</v>
      </c>
    </row>
    <row r="19" spans="1:42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>
        <f>'TUSD BE'!$L$19*'TUSD BE'!$L$58</f>
        <v>0</v>
      </c>
      <c r="M19" s="13">
        <f>'TUSD BE'!$M$19*'TUSD BE'!$M$58</f>
        <v>8.596018457734729E-2</v>
      </c>
      <c r="N19" s="13">
        <f ca="1">'TUSD BE'!$N$19*'TUSD BE'!$N$58</f>
        <v>0</v>
      </c>
      <c r="O19" s="13">
        <f>'TUSD BE'!$O$19*'TUSD BE'!$O$58</f>
        <v>0</v>
      </c>
      <c r="P19" s="13">
        <f>'TUSD BE'!$P$19*'TUSD BE'!$P$58</f>
        <v>0</v>
      </c>
      <c r="Q19" s="13">
        <f>'TUSD BE'!$Q$19*'TUSD BE'!$Q$58</f>
        <v>2.8114517340068605</v>
      </c>
      <c r="R19" s="13">
        <f>'TUSD BE'!$R$19*'TUSD BE'!$R$58</f>
        <v>0.38807822486594351</v>
      </c>
      <c r="S19" s="13">
        <f>'TUSD BE'!$R$19*'TUSD BE'!$S$58</f>
        <v>0</v>
      </c>
      <c r="T19" s="13">
        <f ca="1">SUM($L$19:$S$19)</f>
        <v>3.2854901434501511</v>
      </c>
      <c r="U19" s="13">
        <f>'TUSD BE'!$U$19*'TUSD BE'!$U$58</f>
        <v>0</v>
      </c>
      <c r="V19" s="13">
        <f>'TUSD BE'!$V$19*'TUSD BE'!$V$58</f>
        <v>0</v>
      </c>
      <c r="W19" s="13">
        <f>'TUSD BE'!$W$19*'TUSD BE'!$W$58</f>
        <v>0</v>
      </c>
      <c r="X19" s="13">
        <f>'TUSD BE'!$X$19*'TUSD BE'!$X$58</f>
        <v>0</v>
      </c>
      <c r="Y19" s="13">
        <f>'TUSD BE'!$Y$19*'TUSD BE'!$Y$58</f>
        <v>-2.6220485544569234</v>
      </c>
      <c r="Z19" s="13">
        <f>'TUSD BE'!$Z$19*'TUSD BE'!$Z$58</f>
        <v>0</v>
      </c>
      <c r="AA19" s="13">
        <f>'TUSD BE'!$AA$19*'TUSD BE'!$AA$58</f>
        <v>0</v>
      </c>
      <c r="AB19" s="13">
        <f>SUM($U$19:$AA$19)</f>
        <v>-2.6220485544569234</v>
      </c>
      <c r="AC19" s="13">
        <f>'TUSD BE'!$AC$19*'TUSD BE'!$AC$58</f>
        <v>-99.359478832297611</v>
      </c>
      <c r="AD19" s="13">
        <f>SUM($AC$19:$AC$19)</f>
        <v>-99.359478832297611</v>
      </c>
      <c r="AE19" s="13">
        <f ca="1">$AO$19*$AO$55</f>
        <v>-7.8835155404985455</v>
      </c>
      <c r="AF19" s="13">
        <f ca="1">$AP$19*$AP$55</f>
        <v>0</v>
      </c>
      <c r="AG19" s="13">
        <f ca="1">SUM($AE$19:$AF$19)</f>
        <v>-7.8835155404985455</v>
      </c>
      <c r="AH19" s="13">
        <f>'TUSD BE'!$AH$19*'TUSD BE'!$AH$58</f>
        <v>-0.12911565954765369</v>
      </c>
      <c r="AI19" s="13">
        <f>'TUSD BE'!$AI$19*'TUSD BE'!$AI$58</f>
        <v>0</v>
      </c>
      <c r="AJ19" s="13">
        <f ca="1">'TUSD BE'!$AJ$19*'TUSD BE'!$AJ$58</f>
        <v>0</v>
      </c>
      <c r="AK19" s="13">
        <f ca="1">'TUSD BE'!$AK$19*'TUSD BE'!$AK$58</f>
        <v>0</v>
      </c>
      <c r="AL19" s="13">
        <f ca="1">SUM($AH$19:$AK$19)</f>
        <v>-0.12911565954765369</v>
      </c>
      <c r="AM19" s="13">
        <f ca="1">SUMIF($L$4:$AL$4,"SUBTOTAL",$L$19:$AL$19)</f>
        <v>-106.70866844335059</v>
      </c>
      <c r="AO19" s="26">
        <f ca="1">+'TUSD BE'!$T$19+'TUSD BE'!$AB$19+'TUSD BE'!$AD$19+'TUSD BE'!$AL$19</f>
        <v>551.40088139059549</v>
      </c>
      <c r="AP19" s="26">
        <f ca="1">+'TUSD BE'!$T$19+'TUSD BE'!$AB$19+'TUSD BE'!$AD$19+'TUSD BE'!$AL$19</f>
        <v>551.40088139059549</v>
      </c>
    </row>
    <row r="20" spans="1:42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>
        <f>'TUSD BE'!$L$20*'TUSD BE'!$L$58</f>
        <v>0</v>
      </c>
      <c r="M20" s="13">
        <f>'TUSD BE'!$M$20*'TUSD BE'!$M$58</f>
        <v>8.596018457734729E-2</v>
      </c>
      <c r="N20" s="13">
        <f ca="1">'TUSD BE'!$N$20*'TUSD BE'!$N$58</f>
        <v>0</v>
      </c>
      <c r="O20" s="13">
        <f>'TUSD BE'!$O$20*'TUSD BE'!$O$58</f>
        <v>0</v>
      </c>
      <c r="P20" s="13">
        <f>'TUSD BE'!$P$20*'TUSD BE'!$P$58</f>
        <v>0</v>
      </c>
      <c r="Q20" s="13">
        <f>'TUSD BE'!$Q$20*'TUSD BE'!$Q$58</f>
        <v>2.8114517340068605</v>
      </c>
      <c r="R20" s="13">
        <f>'TUSD BE'!$R$20*'TUSD BE'!$R$58</f>
        <v>0.38807822486594351</v>
      </c>
      <c r="S20" s="13">
        <f>'TUSD BE'!$R$20*'TUSD BE'!$S$58</f>
        <v>0</v>
      </c>
      <c r="T20" s="13">
        <f ca="1">SUM($L$20:$S$20)</f>
        <v>3.2854901434501511</v>
      </c>
      <c r="U20" s="13">
        <f>'TUSD BE'!$U$20*'TUSD BE'!$U$58</f>
        <v>0</v>
      </c>
      <c r="V20" s="13">
        <f>'TUSD BE'!$V$20*'TUSD BE'!$V$58</f>
        <v>0</v>
      </c>
      <c r="W20" s="13">
        <f>'TUSD BE'!$W$20*'TUSD BE'!$W$58</f>
        <v>0</v>
      </c>
      <c r="X20" s="13">
        <f>'TUSD BE'!$X$20*'TUSD BE'!$X$58</f>
        <v>0</v>
      </c>
      <c r="Y20" s="13">
        <f>'TUSD BE'!$Y$20*'TUSD BE'!$Y$58</f>
        <v>-4.5225312185018476</v>
      </c>
      <c r="Z20" s="13">
        <f>'TUSD BE'!$Z$20*'TUSD BE'!$Z$58</f>
        <v>0</v>
      </c>
      <c r="AA20" s="13">
        <f>'TUSD BE'!$AA$20*'TUSD BE'!$AA$58</f>
        <v>0</v>
      </c>
      <c r="AB20" s="13">
        <f>SUM($U$20:$AA$20)</f>
        <v>-4.5225312185018476</v>
      </c>
      <c r="AC20" s="13">
        <f>'TUSD BE'!$AC$20*'TUSD BE'!$AC$58</f>
        <v>-171.30952571060621</v>
      </c>
      <c r="AD20" s="13">
        <f>SUM($AC$20:$AC$20)</f>
        <v>-171.30952571060621</v>
      </c>
      <c r="AE20" s="13">
        <f ca="1">$AO$20*$AO$55</f>
        <v>-12.223917326026106</v>
      </c>
      <c r="AF20" s="13">
        <f ca="1">$AP$20*$AP$55</f>
        <v>0</v>
      </c>
      <c r="AG20" s="13">
        <f ca="1">SUM($AE$20:$AF$20)</f>
        <v>-12.223917326026106</v>
      </c>
      <c r="AH20" s="13">
        <f>'TUSD BE'!$AH$20*'TUSD BE'!$AH$58</f>
        <v>-0.12911565954765369</v>
      </c>
      <c r="AI20" s="13">
        <f>'TUSD BE'!$AI$20*'TUSD BE'!$AI$58</f>
        <v>0</v>
      </c>
      <c r="AJ20" s="13">
        <f ca="1">'TUSD BE'!$AJ$20*'TUSD BE'!$AJ$58</f>
        <v>0</v>
      </c>
      <c r="AK20" s="13">
        <f ca="1">'TUSD BE'!$AK$20*'TUSD BE'!$AK$58</f>
        <v>0</v>
      </c>
      <c r="AL20" s="13">
        <f ca="1">SUM($AH$20:$AK$20)</f>
        <v>-0.12911565954765369</v>
      </c>
      <c r="AM20" s="13">
        <f ca="1">SUMIF($L$4:$AL$4,"SUBTOTAL",$L$20:$AL$20)</f>
        <v>-184.89959977123169</v>
      </c>
      <c r="AO20" s="26">
        <f ca="1">+'TUSD BE'!$T$20+'TUSD BE'!$AB$20+'TUSD BE'!$AD$20+'TUSD BE'!$AL$20</f>
        <v>854.9838904979589</v>
      </c>
      <c r="AP20" s="26">
        <f ca="1">+'TUSD BE'!$T$20+'TUSD BE'!$AB$20+'TUSD BE'!$AD$20+'TUSD BE'!$AL$20</f>
        <v>854.9838904979589</v>
      </c>
    </row>
    <row r="21" spans="1:42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>
        <f>'TUSD BE'!$L$21*'TUSD BE'!$L$58</f>
        <v>0</v>
      </c>
      <c r="M21" s="13">
        <f>'TUSD BE'!$M$21*'TUSD BE'!$M$58</f>
        <v>8.596018457734729E-2</v>
      </c>
      <c r="N21" s="13">
        <f ca="1">'TUSD BE'!$N$21*'TUSD BE'!$N$58</f>
        <v>0</v>
      </c>
      <c r="O21" s="13">
        <f>'TUSD BE'!$O$21*'TUSD BE'!$O$58</f>
        <v>0</v>
      </c>
      <c r="P21" s="13">
        <f>'TUSD BE'!$P$21*'TUSD BE'!$P$58</f>
        <v>0</v>
      </c>
      <c r="Q21" s="13">
        <f>'TUSD BE'!$Q$21*'TUSD BE'!$Q$58</f>
        <v>0</v>
      </c>
      <c r="R21" s="13">
        <f>'TUSD BE'!$R$21*'TUSD BE'!$R$58</f>
        <v>0</v>
      </c>
      <c r="S21" s="13">
        <f>'TUSD BE'!$R$21*'TUSD BE'!$S$58</f>
        <v>0</v>
      </c>
      <c r="T21" s="13">
        <f ca="1">SUM($L$21:$S$21)</f>
        <v>8.596018457734729E-2</v>
      </c>
      <c r="U21" s="13">
        <f>'TUSD BE'!$U$21*'TUSD BE'!$U$58</f>
        <v>0</v>
      </c>
      <c r="V21" s="13">
        <f>'TUSD BE'!$V$21*'TUSD BE'!$V$58</f>
        <v>0</v>
      </c>
      <c r="W21" s="13">
        <f>'TUSD BE'!$W$21*'TUSD BE'!$W$58</f>
        <v>0</v>
      </c>
      <c r="X21" s="13">
        <f>'TUSD BE'!$X$21*'TUSD BE'!$X$58</f>
        <v>0</v>
      </c>
      <c r="Y21" s="13">
        <f>'TUSD BE'!$Y$21*'TUSD BE'!$Y$58</f>
        <v>-4.5225312185018476</v>
      </c>
      <c r="Z21" s="13">
        <f>'TUSD BE'!$Z$21*'TUSD BE'!$Z$58</f>
        <v>0</v>
      </c>
      <c r="AA21" s="13">
        <f>'TUSD BE'!$AA$21*'TUSD BE'!$AA$58</f>
        <v>0</v>
      </c>
      <c r="AB21" s="13">
        <f>SUM($U$21:$AA$21)</f>
        <v>-4.5225312185018476</v>
      </c>
      <c r="AC21" s="13">
        <f>'TUSD BE'!$AC$21*'TUSD BE'!$AC$58</f>
        <v>-171.30952571060621</v>
      </c>
      <c r="AD21" s="13">
        <f>SUM($AC$21:$AC$21)</f>
        <v>-171.30952571060621</v>
      </c>
      <c r="AE21" s="13">
        <f ca="1">$AO$21*$AO$55</f>
        <v>-10.723140178721646</v>
      </c>
      <c r="AF21" s="13">
        <f ca="1">$AP$21*$AP$55</f>
        <v>0</v>
      </c>
      <c r="AG21" s="13">
        <f ca="1">SUM($AE$21:$AF$21)</f>
        <v>-10.723140178721646</v>
      </c>
      <c r="AH21" s="13">
        <f>'TUSD BE'!$AH$21*'TUSD BE'!$AH$58</f>
        <v>-0.12911565954765369</v>
      </c>
      <c r="AI21" s="13">
        <f>'TUSD BE'!$AI$21*'TUSD BE'!$AI$58</f>
        <v>0</v>
      </c>
      <c r="AJ21" s="13">
        <f ca="1">'TUSD BE'!$AJ$21*'TUSD BE'!$AJ$58</f>
        <v>0</v>
      </c>
      <c r="AK21" s="13">
        <f ca="1">'TUSD BE'!$AK$21*'TUSD BE'!$AK$58</f>
        <v>0</v>
      </c>
      <c r="AL21" s="13">
        <f ca="1">SUM($AH$21:$AK$21)</f>
        <v>-0.12911565954765369</v>
      </c>
      <c r="AM21" s="13">
        <f ca="1">SUMIF($L$4:$AL$4,"SUBTOTAL",$L$21:$AL$21)</f>
        <v>-186.59835258280003</v>
      </c>
      <c r="AO21" s="26">
        <f ca="1">+'TUSD BE'!$T$21+'TUSD BE'!$AB$21+'TUSD BE'!$AD$21+'TUSD BE'!$AL$21</f>
        <v>750.01424370225914</v>
      </c>
      <c r="AP21" s="26">
        <f ca="1">+'TUSD BE'!$T$21+'TUSD BE'!$AB$21+'TUSD BE'!$AD$21+'TUSD BE'!$AL$21</f>
        <v>750.01424370225914</v>
      </c>
    </row>
    <row r="22" spans="1:42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>
        <f>'TUSD BE'!$L$22*'TUSD BE'!$L$58</f>
        <v>0</v>
      </c>
      <c r="M22" s="13">
        <f>'TUSD BE'!$M$22*'TUSD BE'!$M$58</f>
        <v>8.596018457734729E-2</v>
      </c>
      <c r="N22" s="13">
        <f ca="1">'TUSD BE'!$N$22*'TUSD BE'!$N$58</f>
        <v>0</v>
      </c>
      <c r="O22" s="13">
        <f>'TUSD BE'!$O$22*'TUSD BE'!$O$58</f>
        <v>0</v>
      </c>
      <c r="P22" s="13">
        <f>'TUSD BE'!$P$22*'TUSD BE'!$P$58</f>
        <v>0</v>
      </c>
      <c r="Q22" s="13">
        <f>'TUSD BE'!$Q$22*'TUSD BE'!$Q$58</f>
        <v>0</v>
      </c>
      <c r="R22" s="13">
        <f>'TUSD BE'!$R$22*'TUSD BE'!$R$58</f>
        <v>0</v>
      </c>
      <c r="S22" s="13">
        <f>'TUSD BE'!$R$22*'TUSD BE'!$S$58</f>
        <v>0</v>
      </c>
      <c r="T22" s="13">
        <f ca="1">SUM($L$22:$S$22)</f>
        <v>8.596018457734729E-2</v>
      </c>
      <c r="U22" s="13">
        <f>'TUSD BE'!$U$22*'TUSD BE'!$U$58</f>
        <v>0</v>
      </c>
      <c r="V22" s="13">
        <f>'TUSD BE'!$V$22*'TUSD BE'!$V$58</f>
        <v>0</v>
      </c>
      <c r="W22" s="13">
        <f>'TUSD BE'!$W$22*'TUSD BE'!$W$58</f>
        <v>0</v>
      </c>
      <c r="X22" s="13">
        <f>'TUSD BE'!$X$22*'TUSD BE'!$X$58</f>
        <v>0</v>
      </c>
      <c r="Y22" s="13">
        <f>'TUSD BE'!$Y$22*'TUSD BE'!$Y$58</f>
        <v>-4.5225312185018476</v>
      </c>
      <c r="Z22" s="13">
        <f>'TUSD BE'!$Z$22*'TUSD BE'!$Z$58</f>
        <v>0</v>
      </c>
      <c r="AA22" s="13">
        <f>'TUSD BE'!$AA$22*'TUSD BE'!$AA$58</f>
        <v>0</v>
      </c>
      <c r="AB22" s="13">
        <f>SUM($U$22:$AA$22)</f>
        <v>-4.5225312185018476</v>
      </c>
      <c r="AC22" s="13">
        <f>'TUSD BE'!$AC$22*'TUSD BE'!$AC$58</f>
        <v>-171.30952571060621</v>
      </c>
      <c r="AD22" s="13">
        <f>SUM($AC$22:$AC$22)</f>
        <v>-171.30952571060621</v>
      </c>
      <c r="AE22" s="13">
        <f ca="1">$AO$22*$AO$55</f>
        <v>-10.723140178721646</v>
      </c>
      <c r="AF22" s="13">
        <f ca="1">$AP$22*$AP$55</f>
        <v>0</v>
      </c>
      <c r="AG22" s="13">
        <f ca="1">SUM($AE$22:$AF$22)</f>
        <v>-10.723140178721646</v>
      </c>
      <c r="AH22" s="13">
        <f>'TUSD BE'!$AH$22*'TUSD BE'!$AH$58</f>
        <v>-0.12911565954765369</v>
      </c>
      <c r="AI22" s="13">
        <f>'TUSD BE'!$AI$22*'TUSD BE'!$AI$58</f>
        <v>0</v>
      </c>
      <c r="AJ22" s="13">
        <f ca="1">'TUSD BE'!$AJ$22*'TUSD BE'!$AJ$58</f>
        <v>0</v>
      </c>
      <c r="AK22" s="13">
        <f ca="1">'TUSD BE'!$AK$22*'TUSD BE'!$AK$58</f>
        <v>0</v>
      </c>
      <c r="AL22" s="13">
        <f ca="1">SUM($AH$22:$AK$22)</f>
        <v>-0.12911565954765369</v>
      </c>
      <c r="AM22" s="13">
        <f ca="1">SUMIF($L$4:$AL$4,"SUBTOTAL",$L$22:$AL$22)</f>
        <v>-186.59835258280003</v>
      </c>
      <c r="AO22" s="26">
        <f ca="1">+'TUSD BE'!$T$22+'TUSD BE'!$AB$22+'TUSD BE'!$AD$22+'TUSD BE'!$AL$22</f>
        <v>750.01424370225914</v>
      </c>
      <c r="AP22" s="26">
        <f ca="1">+'TUSD BE'!$T$22+'TUSD BE'!$AB$22+'TUSD BE'!$AD$22+'TUSD BE'!$AL$22</f>
        <v>750.01424370225914</v>
      </c>
    </row>
    <row r="23" spans="1:42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>
        <f>'TUSD BE'!$L$23*'TUSD BE'!$L$58</f>
        <v>0</v>
      </c>
      <c r="M23" s="13">
        <f>'TUSD BE'!$M$23*'TUSD BE'!$M$58</f>
        <v>8.596018457734729E-2</v>
      </c>
      <c r="N23" s="13">
        <f ca="1">'TUSD BE'!$N$23*'TUSD BE'!$N$58</f>
        <v>0</v>
      </c>
      <c r="O23" s="13">
        <f>'TUSD BE'!$O$23*'TUSD BE'!$O$58</f>
        <v>0</v>
      </c>
      <c r="P23" s="13">
        <f>'TUSD BE'!$P$23*'TUSD BE'!$P$58</f>
        <v>0</v>
      </c>
      <c r="Q23" s="13">
        <f>'TUSD BE'!$Q$23*'TUSD BE'!$Q$58</f>
        <v>0</v>
      </c>
      <c r="R23" s="13">
        <f>'TUSD BE'!$R$23*'TUSD BE'!$R$58</f>
        <v>0</v>
      </c>
      <c r="S23" s="13">
        <f>'TUSD BE'!$R$23*'TUSD BE'!$S$58</f>
        <v>0</v>
      </c>
      <c r="T23" s="13">
        <f ca="1">SUM($L$23:$S$23)</f>
        <v>8.596018457734729E-2</v>
      </c>
      <c r="U23" s="13">
        <f>'TUSD BE'!$U$23*'TUSD BE'!$U$58</f>
        <v>0</v>
      </c>
      <c r="V23" s="13">
        <f>'TUSD BE'!$V$23*'TUSD BE'!$V$58</f>
        <v>0</v>
      </c>
      <c r="W23" s="13">
        <f>'TUSD BE'!$W$23*'TUSD BE'!$W$58</f>
        <v>0</v>
      </c>
      <c r="X23" s="13">
        <f>'TUSD BE'!$X$23*'TUSD BE'!$X$58</f>
        <v>0</v>
      </c>
      <c r="Y23" s="13">
        <f>'TUSD BE'!$Y$23*'TUSD BE'!$Y$58</f>
        <v>-4.5225312185018476</v>
      </c>
      <c r="Z23" s="13">
        <f>'TUSD BE'!$Z$23*'TUSD BE'!$Z$58</f>
        <v>0</v>
      </c>
      <c r="AA23" s="13">
        <f>'TUSD BE'!$AA$23*'TUSD BE'!$AA$58</f>
        <v>0</v>
      </c>
      <c r="AB23" s="13">
        <f>SUM($U$23:$AA$23)</f>
        <v>-4.5225312185018476</v>
      </c>
      <c r="AC23" s="13">
        <f>'TUSD BE'!$AC$23*'TUSD BE'!$AC$58</f>
        <v>-171.30952571060621</v>
      </c>
      <c r="AD23" s="13">
        <f>SUM($AC$23:$AC$23)</f>
        <v>-171.30952571060621</v>
      </c>
      <c r="AE23" s="13">
        <f ca="1">$AO$23*$AO$55</f>
        <v>-10.723140178721646</v>
      </c>
      <c r="AF23" s="13">
        <f ca="1">$AP$23*$AP$55</f>
        <v>0</v>
      </c>
      <c r="AG23" s="13">
        <f ca="1">SUM($AE$23:$AF$23)</f>
        <v>-10.723140178721646</v>
      </c>
      <c r="AH23" s="13">
        <f>'TUSD BE'!$AH$23*'TUSD BE'!$AH$58</f>
        <v>-0.12911565954765369</v>
      </c>
      <c r="AI23" s="13">
        <f>'TUSD BE'!$AI$23*'TUSD BE'!$AI$58</f>
        <v>0</v>
      </c>
      <c r="AJ23" s="13">
        <f ca="1">'TUSD BE'!$AJ$23*'TUSD BE'!$AJ$58</f>
        <v>0</v>
      </c>
      <c r="AK23" s="13">
        <f ca="1">'TUSD BE'!$AK$23*'TUSD BE'!$AK$58</f>
        <v>0</v>
      </c>
      <c r="AL23" s="13">
        <f ca="1">SUM($AH$23:$AK$23)</f>
        <v>-0.12911565954765369</v>
      </c>
      <c r="AM23" s="13">
        <f ca="1">SUMIF($L$4:$AL$4,"SUBTOTAL",$L$23:$AL$23)</f>
        <v>-186.59835258280003</v>
      </c>
      <c r="AO23" s="26">
        <f ca="1">+'TUSD BE'!$T$23+'TUSD BE'!$AB$23+'TUSD BE'!$AD$23+'TUSD BE'!$AL$23</f>
        <v>750.01424370225914</v>
      </c>
      <c r="AP23" s="26">
        <f ca="1">+'TUSD BE'!$T$23+'TUSD BE'!$AB$23+'TUSD BE'!$AD$23+'TUSD BE'!$AL$23</f>
        <v>750.01424370225914</v>
      </c>
    </row>
    <row r="24" spans="1:42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>
        <f>'TUSD BE'!$L$24*'TUSD BE'!$L$58</f>
        <v>0</v>
      </c>
      <c r="M24" s="13">
        <f>'TUSD BE'!$M$24*'TUSD BE'!$M$58</f>
        <v>8.596018457734729E-2</v>
      </c>
      <c r="N24" s="13">
        <f ca="1">'TUSD BE'!$N$24*'TUSD BE'!$N$58</f>
        <v>0</v>
      </c>
      <c r="O24" s="13">
        <f>'TUSD BE'!$O$24*'TUSD BE'!$O$58</f>
        <v>0</v>
      </c>
      <c r="P24" s="13">
        <f>'TUSD BE'!$P$24*'TUSD BE'!$P$58</f>
        <v>0</v>
      </c>
      <c r="Q24" s="13">
        <f>'TUSD BE'!$Q$24*'TUSD BE'!$Q$58</f>
        <v>0</v>
      </c>
      <c r="R24" s="13">
        <f>'TUSD BE'!$R$24*'TUSD BE'!$R$58</f>
        <v>0</v>
      </c>
      <c r="S24" s="13">
        <f>'TUSD BE'!$R$24*'TUSD BE'!$S$58</f>
        <v>0</v>
      </c>
      <c r="T24" s="13">
        <f ca="1">SUM($L$24:$S$24)</f>
        <v>8.596018457734729E-2</v>
      </c>
      <c r="U24" s="13">
        <f>'TUSD BE'!$U$24*'TUSD BE'!$U$58</f>
        <v>0</v>
      </c>
      <c r="V24" s="13">
        <f>'TUSD BE'!$V$24*'TUSD BE'!$V$58</f>
        <v>0</v>
      </c>
      <c r="W24" s="13">
        <f>'TUSD BE'!$W$24*'TUSD BE'!$W$58</f>
        <v>0</v>
      </c>
      <c r="X24" s="13">
        <f>'TUSD BE'!$X$24*'TUSD BE'!$X$58</f>
        <v>0</v>
      </c>
      <c r="Y24" s="13">
        <f>'TUSD BE'!$Y$24*'TUSD BE'!$Y$58</f>
        <v>-4.5225312185018476</v>
      </c>
      <c r="Z24" s="13">
        <f>'TUSD BE'!$Z$24*'TUSD BE'!$Z$58</f>
        <v>0</v>
      </c>
      <c r="AA24" s="13">
        <f>'TUSD BE'!$AA$24*'TUSD BE'!$AA$58</f>
        <v>0</v>
      </c>
      <c r="AB24" s="13">
        <f>SUM($U$24:$AA$24)</f>
        <v>-4.5225312185018476</v>
      </c>
      <c r="AC24" s="13">
        <f>'TUSD BE'!$AC$24*'TUSD BE'!$AC$58</f>
        <v>-171.30952571060621</v>
      </c>
      <c r="AD24" s="13">
        <f>SUM($AC$24:$AC$24)</f>
        <v>-171.30952571060621</v>
      </c>
      <c r="AE24" s="13">
        <f ca="1">$AO$24*$AO$55</f>
        <v>-10.723140178721646</v>
      </c>
      <c r="AF24" s="13">
        <f ca="1">$AP$24*$AP$55</f>
        <v>0</v>
      </c>
      <c r="AG24" s="13">
        <f ca="1">SUM($AE$24:$AF$24)</f>
        <v>-10.723140178721646</v>
      </c>
      <c r="AH24" s="13">
        <f>'TUSD BE'!$AH$24*'TUSD BE'!$AH$58</f>
        <v>-0.12911565954765369</v>
      </c>
      <c r="AI24" s="13">
        <f>'TUSD BE'!$AI$24*'TUSD BE'!$AI$58</f>
        <v>0</v>
      </c>
      <c r="AJ24" s="13">
        <f ca="1">'TUSD BE'!$AJ$24*'TUSD BE'!$AJ$58</f>
        <v>0</v>
      </c>
      <c r="AK24" s="13">
        <f ca="1">'TUSD BE'!$AK$24*'TUSD BE'!$AK$58</f>
        <v>0</v>
      </c>
      <c r="AL24" s="13">
        <f ca="1">SUM($AH$24:$AK$24)</f>
        <v>-0.12911565954765369</v>
      </c>
      <c r="AM24" s="13">
        <f ca="1">SUMIF($L$4:$AL$4,"SUBTOTAL",$L$24:$AL$24)</f>
        <v>-186.59835258280003</v>
      </c>
      <c r="AO24" s="26">
        <f ca="1">+'TUSD BE'!$T$24+'TUSD BE'!$AB$24+'TUSD BE'!$AD$24+'TUSD BE'!$AL$24</f>
        <v>750.01424370225914</v>
      </c>
      <c r="AP24" s="26">
        <f ca="1">+'TUSD BE'!$T$24+'TUSD BE'!$AB$24+'TUSD BE'!$AD$24+'TUSD BE'!$AL$24</f>
        <v>750.01424370225914</v>
      </c>
    </row>
    <row r="25" spans="1:42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>
        <f>'TUSD BE'!$L$25*'TUSD BE'!$L$58</f>
        <v>0</v>
      </c>
      <c r="M25" s="13">
        <f>'TUSD BE'!$M$25*'TUSD BE'!$M$58</f>
        <v>8.596018457734729E-2</v>
      </c>
      <c r="N25" s="13">
        <f ca="1">'TUSD BE'!$N$25*'TUSD BE'!$N$58</f>
        <v>0</v>
      </c>
      <c r="O25" s="13">
        <f>'TUSD BE'!$O$25*'TUSD BE'!$O$58</f>
        <v>0</v>
      </c>
      <c r="P25" s="13">
        <f>'TUSD BE'!$P$25*'TUSD BE'!$P$58</f>
        <v>0</v>
      </c>
      <c r="Q25" s="13">
        <f>'TUSD BE'!$Q$25*'TUSD BE'!$Q$58</f>
        <v>2.8114517340068605</v>
      </c>
      <c r="R25" s="13">
        <f>'TUSD BE'!$R$25*'TUSD BE'!$R$58</f>
        <v>0.38807822486594351</v>
      </c>
      <c r="S25" s="13">
        <f>'TUSD BE'!$R$25*'TUSD BE'!$S$58</f>
        <v>0</v>
      </c>
      <c r="T25" s="13">
        <f ca="1">SUM($L$25:$S$25)</f>
        <v>3.2854901434501511</v>
      </c>
      <c r="U25" s="13">
        <f>'TUSD BE'!$U$25*'TUSD BE'!$U$58</f>
        <v>0</v>
      </c>
      <c r="V25" s="13">
        <f>'TUSD BE'!$V$25*'TUSD BE'!$V$58</f>
        <v>0</v>
      </c>
      <c r="W25" s="13">
        <f>'TUSD BE'!$W$25*'TUSD BE'!$W$58</f>
        <v>0</v>
      </c>
      <c r="X25" s="13">
        <f>'TUSD BE'!$X$25*'TUSD BE'!$X$58</f>
        <v>0</v>
      </c>
      <c r="Y25" s="13">
        <f>'TUSD BE'!$Y$25*'TUSD BE'!$Y$58</f>
        <v>-4.5225312185018476</v>
      </c>
      <c r="Z25" s="13">
        <f>'TUSD BE'!$Z$25*'TUSD BE'!$Z$58</f>
        <v>0</v>
      </c>
      <c r="AA25" s="13">
        <f>'TUSD BE'!$AA$25*'TUSD BE'!$AA$58</f>
        <v>0</v>
      </c>
      <c r="AB25" s="13">
        <f>SUM($U$25:$AA$25)</f>
        <v>-4.5225312185018476</v>
      </c>
      <c r="AC25" s="13">
        <f>'TUSD BE'!$AC$25*'TUSD BE'!$AC$58</f>
        <v>-171.30952571060621</v>
      </c>
      <c r="AD25" s="13">
        <f>SUM($AC$25:$AC$25)</f>
        <v>-171.30952571060621</v>
      </c>
      <c r="AE25" s="13">
        <f ca="1">$AO$25*$AO$55</f>
        <v>-12.223917326026106</v>
      </c>
      <c r="AF25" s="13">
        <f ca="1">$AP$25*$AP$55</f>
        <v>0</v>
      </c>
      <c r="AG25" s="13">
        <f ca="1">SUM($AE$25:$AF$25)</f>
        <v>-12.223917326026106</v>
      </c>
      <c r="AH25" s="13">
        <f>'TUSD BE'!$AH$25*'TUSD BE'!$AH$58</f>
        <v>-0.12911565954765369</v>
      </c>
      <c r="AI25" s="13">
        <f>'TUSD BE'!$AI$25*'TUSD BE'!$AI$58</f>
        <v>0</v>
      </c>
      <c r="AJ25" s="13">
        <f ca="1">'TUSD BE'!$AJ$25*'TUSD BE'!$AJ$58</f>
        <v>0</v>
      </c>
      <c r="AK25" s="13">
        <f ca="1">'TUSD BE'!$AK$25*'TUSD BE'!$AK$58</f>
        <v>0</v>
      </c>
      <c r="AL25" s="13">
        <f ca="1">SUM($AH$25:$AK$25)</f>
        <v>-0.12911565954765369</v>
      </c>
      <c r="AM25" s="13">
        <f ca="1">SUMIF($L$4:$AL$4,"SUBTOTAL",$L$25:$AL$25)</f>
        <v>-184.89959977123169</v>
      </c>
      <c r="AO25" s="26">
        <f ca="1">+'TUSD BE'!$T$25+'TUSD BE'!$AB$25+'TUSD BE'!$AD$25+'TUSD BE'!$AL$25</f>
        <v>854.9838904979589</v>
      </c>
      <c r="AP25" s="26">
        <f ca="1">+'TUSD BE'!$T$25+'TUSD BE'!$AB$25+'TUSD BE'!$AD$25+'TUSD BE'!$AL$25</f>
        <v>854.9838904979589</v>
      </c>
    </row>
    <row r="26" spans="1:42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>
        <f>'TUSD BE'!$L$26*'TUSD BE'!$L$58</f>
        <v>0</v>
      </c>
      <c r="M26" s="13">
        <f>'TUSD BE'!$M$26*'TUSD BE'!$M$58</f>
        <v>8.596018457734729E-2</v>
      </c>
      <c r="N26" s="13">
        <f ca="1">'TUSD BE'!$N$26*'TUSD BE'!$N$58</f>
        <v>0</v>
      </c>
      <c r="O26" s="13">
        <f>'TUSD BE'!$O$26*'TUSD BE'!$O$58</f>
        <v>0</v>
      </c>
      <c r="P26" s="13">
        <f>'TUSD BE'!$P$26*'TUSD BE'!$P$58</f>
        <v>0</v>
      </c>
      <c r="Q26" s="13">
        <f>'TUSD BE'!$Q$26*'TUSD BE'!$Q$58</f>
        <v>0</v>
      </c>
      <c r="R26" s="13">
        <f>'TUSD BE'!$R$26*'TUSD BE'!$R$58</f>
        <v>0</v>
      </c>
      <c r="S26" s="13">
        <f>'TUSD BE'!$R$26*'TUSD BE'!$S$58</f>
        <v>0</v>
      </c>
      <c r="T26" s="13">
        <f ca="1">SUM($L$26:$S$26)</f>
        <v>8.596018457734729E-2</v>
      </c>
      <c r="U26" s="13">
        <f>'TUSD BE'!$U$26*'TUSD BE'!$U$58</f>
        <v>0</v>
      </c>
      <c r="V26" s="13">
        <f>'TUSD BE'!$V$26*'TUSD BE'!$V$58</f>
        <v>0</v>
      </c>
      <c r="W26" s="13">
        <f>'TUSD BE'!$W$26*'TUSD BE'!$W$58</f>
        <v>0</v>
      </c>
      <c r="X26" s="13">
        <f>'TUSD BE'!$X$26*'TUSD BE'!$X$58</f>
        <v>0</v>
      </c>
      <c r="Y26" s="13">
        <f>'TUSD BE'!$Y$26*'TUSD BE'!$Y$58</f>
        <v>-4.5225312185018476</v>
      </c>
      <c r="Z26" s="13">
        <f>'TUSD BE'!$Z$26*'TUSD BE'!$Z$58</f>
        <v>0</v>
      </c>
      <c r="AA26" s="13">
        <f>'TUSD BE'!$AA$26*'TUSD BE'!$AA$58</f>
        <v>0</v>
      </c>
      <c r="AB26" s="13">
        <f>SUM($U$26:$AA$26)</f>
        <v>-4.5225312185018476</v>
      </c>
      <c r="AC26" s="13">
        <f>'TUSD BE'!$AC$26*'TUSD BE'!$AC$58</f>
        <v>-171.30952571060621</v>
      </c>
      <c r="AD26" s="13">
        <f>SUM($AC$26:$AC$26)</f>
        <v>-171.30952571060621</v>
      </c>
      <c r="AE26" s="13">
        <f ca="1">$AO$26*$AO$55</f>
        <v>-10.723140178721646</v>
      </c>
      <c r="AF26" s="13">
        <f ca="1">$AP$26*$AP$55</f>
        <v>0</v>
      </c>
      <c r="AG26" s="13">
        <f ca="1">SUM($AE$26:$AF$26)</f>
        <v>-10.723140178721646</v>
      </c>
      <c r="AH26" s="13">
        <f>'TUSD BE'!$AH$26*'TUSD BE'!$AH$58</f>
        <v>-0.12911565954765369</v>
      </c>
      <c r="AI26" s="13">
        <f>'TUSD BE'!$AI$26*'TUSD BE'!$AI$58</f>
        <v>0</v>
      </c>
      <c r="AJ26" s="13">
        <f ca="1">'TUSD BE'!$AJ$26*'TUSD BE'!$AJ$58</f>
        <v>0</v>
      </c>
      <c r="AK26" s="13">
        <f ca="1">'TUSD BE'!$AK$26*'TUSD BE'!$AK$58</f>
        <v>0</v>
      </c>
      <c r="AL26" s="13">
        <f ca="1">SUM($AH$26:$AK$26)</f>
        <v>-0.12911565954765369</v>
      </c>
      <c r="AM26" s="13">
        <f ca="1">SUMIF($L$4:$AL$4,"SUBTOTAL",$L$26:$AL$26)</f>
        <v>-186.59835258280003</v>
      </c>
      <c r="AO26" s="26">
        <f ca="1">+'TUSD BE'!$T$26+'TUSD BE'!$AB$26+'TUSD BE'!$AD$26+'TUSD BE'!$AL$26</f>
        <v>750.01424370225914</v>
      </c>
      <c r="AP26" s="26">
        <f ca="1">+'TUSD BE'!$T$26+'TUSD BE'!$AB$26+'TUSD BE'!$AD$26+'TUSD BE'!$AL$26</f>
        <v>750.01424370225914</v>
      </c>
    </row>
    <row r="27" spans="1:42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>
        <f>'TUSD BE'!$L$27*'TUSD BE'!$L$58</f>
        <v>0</v>
      </c>
      <c r="M27" s="13">
        <f>'TUSD BE'!$M$27*'TUSD BE'!$M$58</f>
        <v>8.596018457734729E-2</v>
      </c>
      <c r="N27" s="13">
        <f ca="1">'TUSD BE'!$N$27*'TUSD BE'!$N$58</f>
        <v>0</v>
      </c>
      <c r="O27" s="13">
        <f>'TUSD BE'!$O$27*'TUSD BE'!$O$58</f>
        <v>0</v>
      </c>
      <c r="P27" s="13">
        <f>'TUSD BE'!$P$27*'TUSD BE'!$P$58</f>
        <v>0</v>
      </c>
      <c r="Q27" s="13">
        <f>'TUSD BE'!$Q$27*'TUSD BE'!$Q$58</f>
        <v>0</v>
      </c>
      <c r="R27" s="13">
        <f>'TUSD BE'!$R$27*'TUSD BE'!$R$58</f>
        <v>0</v>
      </c>
      <c r="S27" s="13">
        <f>'TUSD BE'!$R$27*'TUSD BE'!$S$58</f>
        <v>0</v>
      </c>
      <c r="T27" s="13">
        <f ca="1">SUM($L$27:$S$27)</f>
        <v>8.596018457734729E-2</v>
      </c>
      <c r="U27" s="13">
        <f>'TUSD BE'!$U$27*'TUSD BE'!$U$58</f>
        <v>0</v>
      </c>
      <c r="V27" s="13">
        <f>'TUSD BE'!$V$27*'TUSD BE'!$V$58</f>
        <v>0</v>
      </c>
      <c r="W27" s="13">
        <f>'TUSD BE'!$W$27*'TUSD BE'!$W$58</f>
        <v>0</v>
      </c>
      <c r="X27" s="13">
        <f>'TUSD BE'!$X$27*'TUSD BE'!$X$58</f>
        <v>0</v>
      </c>
      <c r="Y27" s="13">
        <f>'TUSD BE'!$Y$27*'TUSD BE'!$Y$58</f>
        <v>-4.5225312185018476</v>
      </c>
      <c r="Z27" s="13">
        <f>'TUSD BE'!$Z$27*'TUSD BE'!$Z$58</f>
        <v>0</v>
      </c>
      <c r="AA27" s="13">
        <f>'TUSD BE'!$AA$27*'TUSD BE'!$AA$58</f>
        <v>0</v>
      </c>
      <c r="AB27" s="13">
        <f>SUM($U$27:$AA$27)</f>
        <v>-4.5225312185018476</v>
      </c>
      <c r="AC27" s="13">
        <f>'TUSD BE'!$AC$27*'TUSD BE'!$AC$58</f>
        <v>-171.30952571060621</v>
      </c>
      <c r="AD27" s="13">
        <f>SUM($AC$27:$AC$27)</f>
        <v>-171.30952571060621</v>
      </c>
      <c r="AE27" s="13">
        <f ca="1">$AO$27*$AO$55</f>
        <v>-10.723140178721646</v>
      </c>
      <c r="AF27" s="13">
        <f ca="1">$AP$27*$AP$55</f>
        <v>0</v>
      </c>
      <c r="AG27" s="13">
        <f ca="1">SUM($AE$27:$AF$27)</f>
        <v>-10.723140178721646</v>
      </c>
      <c r="AH27" s="13">
        <f>'TUSD BE'!$AH$27*'TUSD BE'!$AH$58</f>
        <v>-0.12911565954765369</v>
      </c>
      <c r="AI27" s="13">
        <f>'TUSD BE'!$AI$27*'TUSD BE'!$AI$58</f>
        <v>0</v>
      </c>
      <c r="AJ27" s="13">
        <f ca="1">'TUSD BE'!$AJ$27*'TUSD BE'!$AJ$58</f>
        <v>0</v>
      </c>
      <c r="AK27" s="13">
        <f ca="1">'TUSD BE'!$AK$27*'TUSD BE'!$AK$58</f>
        <v>0</v>
      </c>
      <c r="AL27" s="13">
        <f ca="1">SUM($AH$27:$AK$27)</f>
        <v>-0.12911565954765369</v>
      </c>
      <c r="AM27" s="13">
        <f ca="1">SUMIF($L$4:$AL$4,"SUBTOTAL",$L$27:$AL$27)</f>
        <v>-186.59835258280003</v>
      </c>
      <c r="AO27" s="26">
        <f ca="1">+'TUSD BE'!$T$27+'TUSD BE'!$AB$27+'TUSD BE'!$AD$27+'TUSD BE'!$AL$27</f>
        <v>750.01424370225914</v>
      </c>
      <c r="AP27" s="26">
        <f ca="1">+'TUSD BE'!$T$27+'TUSD BE'!$AB$27+'TUSD BE'!$AD$27+'TUSD BE'!$AL$27</f>
        <v>750.01424370225914</v>
      </c>
    </row>
    <row r="28" spans="1:42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>
        <f>'TUSD BE'!$L$28*'TUSD BE'!$L$58</f>
        <v>0</v>
      </c>
      <c r="M28" s="13">
        <f>'TUSD BE'!$M$28*'TUSD BE'!$M$58</f>
        <v>8.596018457734729E-2</v>
      </c>
      <c r="N28" s="13">
        <f ca="1">'TUSD BE'!$N$28*'TUSD BE'!$N$58</f>
        <v>0</v>
      </c>
      <c r="O28" s="13">
        <f>'TUSD BE'!$O$28*'TUSD BE'!$O$58</f>
        <v>0</v>
      </c>
      <c r="P28" s="13">
        <f>'TUSD BE'!$P$28*'TUSD BE'!$P$58</f>
        <v>0</v>
      </c>
      <c r="Q28" s="13">
        <f>'TUSD BE'!$Q$28*'TUSD BE'!$Q$58</f>
        <v>0</v>
      </c>
      <c r="R28" s="13">
        <f>'TUSD BE'!$R$28*'TUSD BE'!$R$58</f>
        <v>0</v>
      </c>
      <c r="S28" s="13">
        <f>'TUSD BE'!$R$28*'TUSD BE'!$S$58</f>
        <v>0</v>
      </c>
      <c r="T28" s="13">
        <f ca="1">SUM($L$28:$S$28)</f>
        <v>8.596018457734729E-2</v>
      </c>
      <c r="U28" s="13">
        <f>'TUSD BE'!$U$28*'TUSD BE'!$U$58</f>
        <v>0</v>
      </c>
      <c r="V28" s="13">
        <f>'TUSD BE'!$V$28*'TUSD BE'!$V$58</f>
        <v>0</v>
      </c>
      <c r="W28" s="13">
        <f>'TUSD BE'!$W$28*'TUSD BE'!$W$58</f>
        <v>0</v>
      </c>
      <c r="X28" s="13">
        <f>'TUSD BE'!$X$28*'TUSD BE'!$X$58</f>
        <v>0</v>
      </c>
      <c r="Y28" s="13">
        <f>'TUSD BE'!$Y$28*'TUSD BE'!$Y$58</f>
        <v>-4.5225312185018476</v>
      </c>
      <c r="Z28" s="13">
        <f>'TUSD BE'!$Z$28*'TUSD BE'!$Z$58</f>
        <v>0</v>
      </c>
      <c r="AA28" s="13">
        <f>'TUSD BE'!$AA$28*'TUSD BE'!$AA$58</f>
        <v>0</v>
      </c>
      <c r="AB28" s="13">
        <f>SUM($U$28:$AA$28)</f>
        <v>-4.5225312185018476</v>
      </c>
      <c r="AC28" s="13">
        <f>'TUSD BE'!$AC$28*'TUSD BE'!$AC$58</f>
        <v>-171.30952571060621</v>
      </c>
      <c r="AD28" s="13">
        <f>SUM($AC$28:$AC$28)</f>
        <v>-171.30952571060621</v>
      </c>
      <c r="AE28" s="13">
        <f ca="1">$AO$28*$AO$55</f>
        <v>-10.723140178721646</v>
      </c>
      <c r="AF28" s="13">
        <f ca="1">$AP$28*$AP$55</f>
        <v>0</v>
      </c>
      <c r="AG28" s="13">
        <f ca="1">SUM($AE$28:$AF$28)</f>
        <v>-10.723140178721646</v>
      </c>
      <c r="AH28" s="13">
        <f>'TUSD BE'!$AH$28*'TUSD BE'!$AH$58</f>
        <v>-0.12911565954765369</v>
      </c>
      <c r="AI28" s="13">
        <f>'TUSD BE'!$AI$28*'TUSD BE'!$AI$58</f>
        <v>0</v>
      </c>
      <c r="AJ28" s="13">
        <f ca="1">'TUSD BE'!$AJ$28*'TUSD BE'!$AJ$58</f>
        <v>0</v>
      </c>
      <c r="AK28" s="13">
        <f ca="1">'TUSD BE'!$AK$28*'TUSD BE'!$AK$58</f>
        <v>0</v>
      </c>
      <c r="AL28" s="13">
        <f ca="1">SUM($AH$28:$AK$28)</f>
        <v>-0.12911565954765369</v>
      </c>
      <c r="AM28" s="13">
        <f ca="1">SUMIF($L$4:$AL$4,"SUBTOTAL",$L$28:$AL$28)</f>
        <v>-186.59835258280003</v>
      </c>
      <c r="AO28" s="26">
        <f ca="1">+'TUSD BE'!$T$28+'TUSD BE'!$AB$28+'TUSD BE'!$AD$28+'TUSD BE'!$AL$28</f>
        <v>750.01424370225914</v>
      </c>
      <c r="AP28" s="26">
        <f ca="1">+'TUSD BE'!$T$28+'TUSD BE'!$AB$28+'TUSD BE'!$AD$28+'TUSD BE'!$AL$28</f>
        <v>750.01424370225914</v>
      </c>
    </row>
    <row r="29" spans="1:42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>
        <f>'TUSD BE'!$L$29*'TUSD BE'!$L$58</f>
        <v>0</v>
      </c>
      <c r="M29" s="13">
        <f>'TUSD BE'!$M$29*'TUSD BE'!$M$58</f>
        <v>8.596018457734729E-2</v>
      </c>
      <c r="N29" s="13">
        <f ca="1">'TUSD BE'!$N$29*'TUSD BE'!$N$58</f>
        <v>0</v>
      </c>
      <c r="O29" s="13">
        <f>'TUSD BE'!$O$29*'TUSD BE'!$O$58</f>
        <v>0</v>
      </c>
      <c r="P29" s="13">
        <f>'TUSD BE'!$P$29*'TUSD BE'!$P$58</f>
        <v>0</v>
      </c>
      <c r="Q29" s="13">
        <f>'TUSD BE'!$Q$29*'TUSD BE'!$Q$58</f>
        <v>0</v>
      </c>
      <c r="R29" s="13">
        <f>'TUSD BE'!$R$29*'TUSD BE'!$R$58</f>
        <v>0</v>
      </c>
      <c r="S29" s="13">
        <f>'TUSD BE'!$R$29*'TUSD BE'!$S$58</f>
        <v>0</v>
      </c>
      <c r="T29" s="13">
        <f ca="1">SUM($L$29:$S$29)</f>
        <v>8.596018457734729E-2</v>
      </c>
      <c r="U29" s="13">
        <f>'TUSD BE'!$U$29*'TUSD BE'!$U$58</f>
        <v>0</v>
      </c>
      <c r="V29" s="13">
        <f>'TUSD BE'!$V$29*'TUSD BE'!$V$58</f>
        <v>0</v>
      </c>
      <c r="W29" s="13">
        <f>'TUSD BE'!$W$29*'TUSD BE'!$W$58</f>
        <v>0</v>
      </c>
      <c r="X29" s="13">
        <f>'TUSD BE'!$X$29*'TUSD BE'!$X$58</f>
        <v>0</v>
      </c>
      <c r="Y29" s="13">
        <f>'TUSD BE'!$Y$29*'TUSD BE'!$Y$58</f>
        <v>-4.5225312185018476</v>
      </c>
      <c r="Z29" s="13">
        <f>'TUSD BE'!$Z$29*'TUSD BE'!$Z$58</f>
        <v>0</v>
      </c>
      <c r="AA29" s="13">
        <f>'TUSD BE'!$AA$29*'TUSD BE'!$AA$58</f>
        <v>0</v>
      </c>
      <c r="AB29" s="13">
        <f>SUM($U$29:$AA$29)</f>
        <v>-4.5225312185018476</v>
      </c>
      <c r="AC29" s="13">
        <f>'TUSD BE'!$AC$29*'TUSD BE'!$AC$58</f>
        <v>-171.30952571060621</v>
      </c>
      <c r="AD29" s="13">
        <f>SUM($AC$29:$AC$29)</f>
        <v>-171.30952571060621</v>
      </c>
      <c r="AE29" s="13">
        <f ca="1">$AO$29*$AO$55</f>
        <v>-10.723140178721646</v>
      </c>
      <c r="AF29" s="13">
        <f ca="1">$AP$29*$AP$55</f>
        <v>0</v>
      </c>
      <c r="AG29" s="13">
        <f ca="1">SUM($AE$29:$AF$29)</f>
        <v>-10.723140178721646</v>
      </c>
      <c r="AH29" s="13">
        <f>'TUSD BE'!$AH$29*'TUSD BE'!$AH$58</f>
        <v>-0.12911565954765369</v>
      </c>
      <c r="AI29" s="13">
        <f>'TUSD BE'!$AI$29*'TUSD BE'!$AI$58</f>
        <v>0</v>
      </c>
      <c r="AJ29" s="13">
        <f ca="1">'TUSD BE'!$AJ$29*'TUSD BE'!$AJ$58</f>
        <v>0</v>
      </c>
      <c r="AK29" s="13">
        <f ca="1">'TUSD BE'!$AK$29*'TUSD BE'!$AK$58</f>
        <v>0</v>
      </c>
      <c r="AL29" s="13">
        <f ca="1">SUM($AH$29:$AK$29)</f>
        <v>-0.12911565954765369</v>
      </c>
      <c r="AM29" s="13">
        <f ca="1">SUMIF($L$4:$AL$4,"SUBTOTAL",$L$29:$AL$29)</f>
        <v>-186.59835258280003</v>
      </c>
      <c r="AO29" s="26">
        <f ca="1">+'TUSD BE'!$T$29+'TUSD BE'!$AB$29+'TUSD BE'!$AD$29+'TUSD BE'!$AL$29</f>
        <v>750.01424370225914</v>
      </c>
      <c r="AP29" s="26">
        <f ca="1">+'TUSD BE'!$T$29+'TUSD BE'!$AB$29+'TUSD BE'!$AD$29+'TUSD BE'!$AL$29</f>
        <v>750.01424370225914</v>
      </c>
    </row>
    <row r="30" spans="1:42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>
        <f>'TUSD BE'!$L$30*'TUSD BE'!$L$58</f>
        <v>0</v>
      </c>
      <c r="M30" s="13">
        <f>'TUSD BE'!$M$30*'TUSD BE'!$M$58</f>
        <v>8.596018457734729E-2</v>
      </c>
      <c r="N30" s="13">
        <f ca="1">'TUSD BE'!$N$30*'TUSD BE'!$N$58</f>
        <v>0</v>
      </c>
      <c r="O30" s="13">
        <f>'TUSD BE'!$O$30*'TUSD BE'!$O$58</f>
        <v>0</v>
      </c>
      <c r="P30" s="13">
        <f>'TUSD BE'!$P$30*'TUSD BE'!$P$58</f>
        <v>0</v>
      </c>
      <c r="Q30" s="13">
        <f>'TUSD BE'!$Q$30*'TUSD BE'!$Q$58</f>
        <v>2.8114517340068605</v>
      </c>
      <c r="R30" s="13">
        <f>'TUSD BE'!$R$30*'TUSD BE'!$R$58</f>
        <v>0.38807822486594351</v>
      </c>
      <c r="S30" s="13">
        <f>'TUSD BE'!$R$30*'TUSD BE'!$S$58</f>
        <v>0</v>
      </c>
      <c r="T30" s="13">
        <f ca="1">SUM($L$30:$S$30)</f>
        <v>3.2854901434501511</v>
      </c>
      <c r="U30" s="13">
        <f>'TUSD BE'!$U$30*'TUSD BE'!$U$58</f>
        <v>0</v>
      </c>
      <c r="V30" s="13">
        <f>'TUSD BE'!$V$30*'TUSD BE'!$V$58</f>
        <v>0</v>
      </c>
      <c r="W30" s="13">
        <f>'TUSD BE'!$W$30*'TUSD BE'!$W$58</f>
        <v>0</v>
      </c>
      <c r="X30" s="13">
        <f>'TUSD BE'!$X$30*'TUSD BE'!$X$58</f>
        <v>0</v>
      </c>
      <c r="Y30" s="13">
        <f>'TUSD BE'!$Y$30*'TUSD BE'!$Y$58</f>
        <v>-15.372532069924389</v>
      </c>
      <c r="Z30" s="13">
        <f>'TUSD BE'!$Z$30*'TUSD BE'!$Z$58</f>
        <v>0</v>
      </c>
      <c r="AA30" s="13">
        <f>'TUSD BE'!$AA$30*'TUSD BE'!$AA$58</f>
        <v>0</v>
      </c>
      <c r="AB30" s="13">
        <f>SUM($U$30:$AA$30)</f>
        <v>-15.372532069924389</v>
      </c>
      <c r="AC30" s="13">
        <f>'TUSD BE'!$AC$30*'TUSD BE'!$AC$58</f>
        <v>-582.45248370232321</v>
      </c>
      <c r="AD30" s="13">
        <f>SUM($AC$30:$AC$30)</f>
        <v>-582.45248370232321</v>
      </c>
      <c r="AE30" s="13">
        <f ca="1">$AO$30*$AO$55</f>
        <v>-37.021696927131799</v>
      </c>
      <c r="AF30" s="13">
        <f ca="1">$AP$30*$AP$55</f>
        <v>0</v>
      </c>
      <c r="AG30" s="13">
        <f ca="1">SUM($AE$30:$AF$30)</f>
        <v>-37.021696927131799</v>
      </c>
      <c r="AH30" s="13">
        <f>'TUSD BE'!$AH$30*'TUSD BE'!$AH$58</f>
        <v>-0.12911565954765369</v>
      </c>
      <c r="AI30" s="13">
        <f>'TUSD BE'!$AI$30*'TUSD BE'!$AI$58</f>
        <v>0</v>
      </c>
      <c r="AJ30" s="13">
        <f ca="1">'TUSD BE'!$AJ$30*'TUSD BE'!$AJ$58</f>
        <v>0</v>
      </c>
      <c r="AK30" s="13">
        <f ca="1">'TUSD BE'!$AK$30*'TUSD BE'!$AK$58</f>
        <v>0</v>
      </c>
      <c r="AL30" s="13">
        <f ca="1">SUM($AH$30:$AK$30)</f>
        <v>-0.12911565954765369</v>
      </c>
      <c r="AM30" s="13">
        <f ca="1">SUMIF($L$4:$AL$4,"SUBTOTAL",$L$30:$AL$30)</f>
        <v>-631.69033821547691</v>
      </c>
      <c r="AO30" s="26">
        <f ca="1">+'TUSD BE'!$T$30+'TUSD BE'!$AB$30+'TUSD BE'!$AD$30+'TUSD BE'!$AL$30</f>
        <v>2589.428055456719</v>
      </c>
      <c r="AP30" s="26">
        <f ca="1">+'TUSD BE'!$T$30+'TUSD BE'!$AB$30+'TUSD BE'!$AD$30+'TUSD BE'!$AL$30</f>
        <v>2589.428055456719</v>
      </c>
    </row>
    <row r="31" spans="1:42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>
        <f>'TUSD BE'!$L$31*'TUSD BE'!$L$58</f>
        <v>0</v>
      </c>
      <c r="M31" s="13">
        <f>'TUSD BE'!$M$31*'TUSD BE'!$M$58</f>
        <v>8.596018457734729E-2</v>
      </c>
      <c r="N31" s="13">
        <f ca="1">'TUSD BE'!$N$31*'TUSD BE'!$N$58</f>
        <v>0</v>
      </c>
      <c r="O31" s="13">
        <f>'TUSD BE'!$O$31*'TUSD BE'!$O$58</f>
        <v>0</v>
      </c>
      <c r="P31" s="13">
        <f>'TUSD BE'!$P$31*'TUSD BE'!$P$58</f>
        <v>0</v>
      </c>
      <c r="Q31" s="13">
        <f>'TUSD BE'!$Q$31*'TUSD BE'!$Q$58</f>
        <v>2.8114517340068605</v>
      </c>
      <c r="R31" s="13">
        <f>'TUSD BE'!$R$31*'TUSD BE'!$R$58</f>
        <v>0.38807822486594351</v>
      </c>
      <c r="S31" s="13">
        <f>'TUSD BE'!$R$31*'TUSD BE'!$S$58</f>
        <v>0</v>
      </c>
      <c r="T31" s="13">
        <f ca="1">SUM($L$31:$S$31)</f>
        <v>3.2854901434501511</v>
      </c>
      <c r="U31" s="13">
        <f>'TUSD BE'!$U$31*'TUSD BE'!$U$58</f>
        <v>0</v>
      </c>
      <c r="V31" s="13">
        <f>'TUSD BE'!$V$31*'TUSD BE'!$V$58</f>
        <v>0</v>
      </c>
      <c r="W31" s="13">
        <f>'TUSD BE'!$W$31*'TUSD BE'!$W$58</f>
        <v>0</v>
      </c>
      <c r="X31" s="13">
        <f>'TUSD BE'!$X$31*'TUSD BE'!$X$58</f>
        <v>0</v>
      </c>
      <c r="Y31" s="13">
        <f>'TUSD BE'!$Y$31*'TUSD BE'!$Y$58</f>
        <v>-9.2239245811954724</v>
      </c>
      <c r="Z31" s="13">
        <f>'TUSD BE'!$Z$31*'TUSD BE'!$Z$58</f>
        <v>0</v>
      </c>
      <c r="AA31" s="13">
        <f>'TUSD BE'!$AA$31*'TUSD BE'!$AA$58</f>
        <v>0</v>
      </c>
      <c r="AB31" s="13">
        <f>SUM($U$31:$AA$31)</f>
        <v>-9.2239245811954724</v>
      </c>
      <c r="AC31" s="13">
        <f>'TUSD BE'!$AC$31*'TUSD BE'!$AC$58</f>
        <v>-349.47140081272198</v>
      </c>
      <c r="AD31" s="13">
        <f>SUM($AC$31:$AC$31)</f>
        <v>-349.47140081272198</v>
      </c>
      <c r="AE31" s="13">
        <f ca="1">$AO$31*$AO$55</f>
        <v>-22.969493652983886</v>
      </c>
      <c r="AF31" s="13">
        <f ca="1">$AP$31*$AP$55</f>
        <v>0</v>
      </c>
      <c r="AG31" s="13">
        <f ca="1">SUM($AE$31:$AF$31)</f>
        <v>-22.969493652983886</v>
      </c>
      <c r="AH31" s="13">
        <f>'TUSD BE'!$AH$31*'TUSD BE'!$AH$58</f>
        <v>-0.12911565954765369</v>
      </c>
      <c r="AI31" s="13">
        <f>'TUSD BE'!$AI$31*'TUSD BE'!$AI$58</f>
        <v>0</v>
      </c>
      <c r="AJ31" s="13">
        <f ca="1">'TUSD BE'!$AJ$31*'TUSD BE'!$AJ$58</f>
        <v>0</v>
      </c>
      <c r="AK31" s="13">
        <f ca="1">'TUSD BE'!$AK$31*'TUSD BE'!$AK$58</f>
        <v>0</v>
      </c>
      <c r="AL31" s="13">
        <f ca="1">SUM($AH$31:$AK$31)</f>
        <v>-0.12911565954765369</v>
      </c>
      <c r="AM31" s="13">
        <f ca="1">SUMIF($L$4:$AL$4,"SUBTOTAL",$L$31:$AL$31)</f>
        <v>-378.50844456299887</v>
      </c>
      <c r="AO31" s="26">
        <f ca="1">+'TUSD BE'!$T$31+'TUSD BE'!$AB$31+'TUSD BE'!$AD$31+'TUSD BE'!$AL$31</f>
        <v>1606.5673975382379</v>
      </c>
      <c r="AP31" s="26">
        <f ca="1">+'TUSD BE'!$T$31+'TUSD BE'!$AB$31+'TUSD BE'!$AD$31+'TUSD BE'!$AL$31</f>
        <v>1606.5673975382379</v>
      </c>
    </row>
    <row r="32" spans="1:42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>
        <f>'TUSD BE'!$L$32*'TUSD BE'!$L$58</f>
        <v>0</v>
      </c>
      <c r="M32" s="13">
        <f>'TUSD BE'!$M$32*'TUSD BE'!$M$58</f>
        <v>8.596018457734729E-2</v>
      </c>
      <c r="N32" s="13">
        <f ca="1">'TUSD BE'!$N$32*'TUSD BE'!$N$58</f>
        <v>0</v>
      </c>
      <c r="O32" s="13">
        <f>'TUSD BE'!$O$32*'TUSD BE'!$O$58</f>
        <v>0</v>
      </c>
      <c r="P32" s="13">
        <f>'TUSD BE'!$P$32*'TUSD BE'!$P$58</f>
        <v>0</v>
      </c>
      <c r="Q32" s="13">
        <f>'TUSD BE'!$Q$32*'TUSD BE'!$Q$58</f>
        <v>2.8114517340068605</v>
      </c>
      <c r="R32" s="13">
        <f>'TUSD BE'!$R$32*'TUSD BE'!$R$58</f>
        <v>0.38807822486594351</v>
      </c>
      <c r="S32" s="13">
        <f>'TUSD BE'!$R$32*'TUSD BE'!$S$58</f>
        <v>0</v>
      </c>
      <c r="T32" s="13">
        <f ca="1">SUM($L$32:$S$32)</f>
        <v>3.2854901434501511</v>
      </c>
      <c r="U32" s="13">
        <f>'TUSD BE'!$U$32*'TUSD BE'!$U$58</f>
        <v>0</v>
      </c>
      <c r="V32" s="13">
        <f>'TUSD BE'!$V$32*'TUSD BE'!$V$58</f>
        <v>0</v>
      </c>
      <c r="W32" s="13">
        <f>'TUSD BE'!$W$32*'TUSD BE'!$W$58</f>
        <v>0</v>
      </c>
      <c r="X32" s="13">
        <f>'TUSD BE'!$X$32*'TUSD BE'!$X$58</f>
        <v>0</v>
      </c>
      <c r="Y32" s="13">
        <f>'TUSD BE'!$Y$32*'TUSD BE'!$Y$58</f>
        <v>-3.075317092466554</v>
      </c>
      <c r="Z32" s="13">
        <f>'TUSD BE'!$Z$32*'TUSD BE'!$Z$58</f>
        <v>0</v>
      </c>
      <c r="AA32" s="13">
        <f>'TUSD BE'!$AA$32*'TUSD BE'!$AA$58</f>
        <v>0</v>
      </c>
      <c r="AB32" s="13">
        <f>SUM($U$32:$AA$32)</f>
        <v>-3.075317092466554</v>
      </c>
      <c r="AC32" s="13">
        <f>'TUSD BE'!$AC$32*'TUSD BE'!$AC$58</f>
        <v>-116.49052425082522</v>
      </c>
      <c r="AD32" s="13">
        <f>SUM($AC$32:$AC$32)</f>
        <v>-116.49052425082522</v>
      </c>
      <c r="AE32" s="13">
        <f ca="1">$AO$32*$AO$55</f>
        <v>-8.9173003438409033</v>
      </c>
      <c r="AF32" s="13">
        <f ca="1">$AP$32*$AP$55</f>
        <v>0</v>
      </c>
      <c r="AG32" s="13">
        <f ca="1">SUM($AE$32:$AF$32)</f>
        <v>-8.9173003438409033</v>
      </c>
      <c r="AH32" s="13">
        <f>'TUSD BE'!$AH$32*'TUSD BE'!$AH$58</f>
        <v>-0.12911565954765369</v>
      </c>
      <c r="AI32" s="13">
        <f>'TUSD BE'!$AI$32*'TUSD BE'!$AI$58</f>
        <v>0</v>
      </c>
      <c r="AJ32" s="13">
        <f ca="1">'TUSD BE'!$AJ$32*'TUSD BE'!$AJ$58</f>
        <v>0</v>
      </c>
      <c r="AK32" s="13">
        <f ca="1">'TUSD BE'!$AK$32*'TUSD BE'!$AK$58</f>
        <v>0</v>
      </c>
      <c r="AL32" s="13">
        <f ca="1">SUM($AH$32:$AK$32)</f>
        <v>-0.12911565954765369</v>
      </c>
      <c r="AM32" s="13">
        <f ca="1">SUMIF($L$4:$AL$4,"SUBTOTAL",$L$32:$AL$32)</f>
        <v>-125.32676720323018</v>
      </c>
      <c r="AO32" s="26">
        <f ca="1">+'TUSD BE'!$T$32+'TUSD BE'!$AB$32+'TUSD BE'!$AD$32+'TUSD BE'!$AL$32</f>
        <v>623.70743660734729</v>
      </c>
      <c r="AP32" s="26">
        <f ca="1">+'TUSD BE'!$T$32+'TUSD BE'!$AB$32+'TUSD BE'!$AD$32+'TUSD BE'!$AL$32</f>
        <v>623.70743660734729</v>
      </c>
    </row>
    <row r="33" spans="1:42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>
        <f>'TUSD BE'!$L$33*'TUSD BE'!$L$58</f>
        <v>0</v>
      </c>
      <c r="M33" s="13">
        <f>'TUSD BE'!$M$33*'TUSD BE'!$M$58</f>
        <v>8.596018457734729E-2</v>
      </c>
      <c r="N33" s="13">
        <f ca="1">'TUSD BE'!$N$33*'TUSD BE'!$N$58</f>
        <v>0</v>
      </c>
      <c r="O33" s="13">
        <f>'TUSD BE'!$O$33*'TUSD BE'!$O$58</f>
        <v>0</v>
      </c>
      <c r="P33" s="13">
        <f>'TUSD BE'!$P$33*'TUSD BE'!$P$58</f>
        <v>0</v>
      </c>
      <c r="Q33" s="13">
        <f>'TUSD BE'!$Q$33*'TUSD BE'!$Q$58</f>
        <v>2.8114517340068605</v>
      </c>
      <c r="R33" s="13">
        <f>'TUSD BE'!$R$33*'TUSD BE'!$R$58</f>
        <v>0.38807822486594351</v>
      </c>
      <c r="S33" s="13">
        <f>'TUSD BE'!$R$33*'TUSD BE'!$S$58</f>
        <v>0</v>
      </c>
      <c r="T33" s="13">
        <f ca="1">SUM($L$33:$S$33)</f>
        <v>3.2854901434501511</v>
      </c>
      <c r="U33" s="13">
        <f>'TUSD BE'!$U$33*'TUSD BE'!$U$58</f>
        <v>0</v>
      </c>
      <c r="V33" s="13">
        <f>'TUSD BE'!$V$33*'TUSD BE'!$V$58</f>
        <v>0</v>
      </c>
      <c r="W33" s="13">
        <f>'TUSD BE'!$W$33*'TUSD BE'!$W$58</f>
        <v>0</v>
      </c>
      <c r="X33" s="13">
        <f>'TUSD BE'!$X$33*'TUSD BE'!$X$58</f>
        <v>0</v>
      </c>
      <c r="Y33" s="13">
        <f>'TUSD BE'!$Y$33*'TUSD BE'!$Y$58</f>
        <v>-4.5225312185018476</v>
      </c>
      <c r="Z33" s="13">
        <f>'TUSD BE'!$Z$33*'TUSD BE'!$Z$58</f>
        <v>0</v>
      </c>
      <c r="AA33" s="13">
        <f>'TUSD BE'!$AA$33*'TUSD BE'!$AA$58</f>
        <v>0</v>
      </c>
      <c r="AB33" s="13">
        <f>SUM($U$33:$AA$33)</f>
        <v>-4.5225312185018476</v>
      </c>
      <c r="AC33" s="13">
        <f>'TUSD BE'!$AC$33*'TUSD BE'!$AC$58</f>
        <v>-171.30952571060621</v>
      </c>
      <c r="AD33" s="13">
        <f>SUM($AC$33:$AC$33)</f>
        <v>-171.30952571060621</v>
      </c>
      <c r="AE33" s="13">
        <f ca="1">$AO$33*$AO$55</f>
        <v>-12.223917326026106</v>
      </c>
      <c r="AF33" s="13">
        <f ca="1">$AP$33*$AP$55</f>
        <v>0</v>
      </c>
      <c r="AG33" s="13">
        <f ca="1">SUM($AE$33:$AF$33)</f>
        <v>-12.223917326026106</v>
      </c>
      <c r="AH33" s="13">
        <f>'TUSD BE'!$AH$33*'TUSD BE'!$AH$58</f>
        <v>-0.12911565954765369</v>
      </c>
      <c r="AI33" s="13">
        <f>'TUSD BE'!$AI$33*'TUSD BE'!$AI$58</f>
        <v>0</v>
      </c>
      <c r="AJ33" s="13">
        <f ca="1">'TUSD BE'!$AJ$33*'TUSD BE'!$AJ$58</f>
        <v>0</v>
      </c>
      <c r="AK33" s="13">
        <f ca="1">'TUSD BE'!$AK$33*'TUSD BE'!$AK$58</f>
        <v>0</v>
      </c>
      <c r="AL33" s="13">
        <f ca="1">SUM($AH$33:$AK$33)</f>
        <v>-0.12911565954765369</v>
      </c>
      <c r="AM33" s="13">
        <f ca="1">SUMIF($L$4:$AL$4,"SUBTOTAL",$L$33:$AL$33)</f>
        <v>-184.89959977123169</v>
      </c>
      <c r="AO33" s="26">
        <f ca="1">+'TUSD BE'!$T$33+'TUSD BE'!$AB$33+'TUSD BE'!$AD$33+'TUSD BE'!$AL$33</f>
        <v>854.9838904979589</v>
      </c>
      <c r="AP33" s="26">
        <f ca="1">+'TUSD BE'!$T$33+'TUSD BE'!$AB$33+'TUSD BE'!$AD$33+'TUSD BE'!$AL$33</f>
        <v>854.9838904979589</v>
      </c>
    </row>
    <row r="34" spans="1:42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>
        <f>'TUSD BE'!$L$34*'TUSD BE'!$L$58</f>
        <v>0</v>
      </c>
      <c r="M34" s="13">
        <f>'TUSD BE'!$M$34*'TUSD BE'!$M$58</f>
        <v>8.596018457734729E-2</v>
      </c>
      <c r="N34" s="13">
        <f ca="1">'TUSD BE'!$N$34*'TUSD BE'!$N$58</f>
        <v>0</v>
      </c>
      <c r="O34" s="13">
        <f>'TUSD BE'!$O$34*'TUSD BE'!$O$58</f>
        <v>0</v>
      </c>
      <c r="P34" s="13">
        <f>'TUSD BE'!$P$34*'TUSD BE'!$P$58</f>
        <v>0</v>
      </c>
      <c r="Q34" s="13">
        <f>'TUSD BE'!$Q$34*'TUSD BE'!$Q$58</f>
        <v>2.8114517340068605</v>
      </c>
      <c r="R34" s="13">
        <f>'TUSD BE'!$R$34*'TUSD BE'!$R$58</f>
        <v>0.38807822486594351</v>
      </c>
      <c r="S34" s="13">
        <f>'TUSD BE'!$R$34*'TUSD BE'!$S$58</f>
        <v>0</v>
      </c>
      <c r="T34" s="13">
        <f ca="1">SUM($L$34:$S$34)</f>
        <v>3.2854901434501511</v>
      </c>
      <c r="U34" s="13">
        <f>'TUSD BE'!$U$34*'TUSD BE'!$U$58</f>
        <v>0</v>
      </c>
      <c r="V34" s="13">
        <f>'TUSD BE'!$V$34*'TUSD BE'!$V$58</f>
        <v>0</v>
      </c>
      <c r="W34" s="13">
        <f>'TUSD BE'!$W$34*'TUSD BE'!$W$58</f>
        <v>0</v>
      </c>
      <c r="X34" s="13">
        <f>'TUSD BE'!$X$34*'TUSD BE'!$X$58</f>
        <v>0</v>
      </c>
      <c r="Y34" s="13">
        <f>'TUSD BE'!$Y$34*'TUSD BE'!$Y$58</f>
        <v>-15.372532069924389</v>
      </c>
      <c r="Z34" s="13">
        <f>'TUSD BE'!$Z$34*'TUSD BE'!$Z$58</f>
        <v>0</v>
      </c>
      <c r="AA34" s="13">
        <f>'TUSD BE'!$AA$34*'TUSD BE'!$AA$58</f>
        <v>0</v>
      </c>
      <c r="AB34" s="13">
        <f>SUM($U$34:$AA$34)</f>
        <v>-15.372532069924389</v>
      </c>
      <c r="AC34" s="13">
        <f>'TUSD BE'!$AC$34*'TUSD BE'!$AC$58</f>
        <v>-582.45248370232321</v>
      </c>
      <c r="AD34" s="13">
        <f>SUM($AC$34:$AC$34)</f>
        <v>-582.45248370232321</v>
      </c>
      <c r="AE34" s="13">
        <f ca="1">$AO$34*$AO$55</f>
        <v>-37.021696927131799</v>
      </c>
      <c r="AF34" s="13">
        <f ca="1">$AP$34*$AP$55</f>
        <v>0</v>
      </c>
      <c r="AG34" s="13">
        <f ca="1">SUM($AE$34:$AF$34)</f>
        <v>-37.021696927131799</v>
      </c>
      <c r="AH34" s="13">
        <f>'TUSD BE'!$AH$34*'TUSD BE'!$AH$58</f>
        <v>-0.12911565954765369</v>
      </c>
      <c r="AI34" s="13">
        <f>'TUSD BE'!$AI$34*'TUSD BE'!$AI$58</f>
        <v>0</v>
      </c>
      <c r="AJ34" s="13">
        <f ca="1">'TUSD BE'!$AJ$34*'TUSD BE'!$AJ$58</f>
        <v>0</v>
      </c>
      <c r="AK34" s="13">
        <f ca="1">'TUSD BE'!$AK$34*'TUSD BE'!$AK$58</f>
        <v>0</v>
      </c>
      <c r="AL34" s="13">
        <f ca="1">SUM($AH$34:$AK$34)</f>
        <v>-0.12911565954765369</v>
      </c>
      <c r="AM34" s="13">
        <f ca="1">SUMIF($L$4:$AL$4,"SUBTOTAL",$L$34:$AL$34)</f>
        <v>-631.69033821547691</v>
      </c>
      <c r="AO34" s="26">
        <f ca="1">+'TUSD BE'!$T$34+'TUSD BE'!$AB$34+'TUSD BE'!$AD$34+'TUSD BE'!$AL$34</f>
        <v>2589.428055456719</v>
      </c>
      <c r="AP34" s="26">
        <f ca="1">+'TUSD BE'!$T$34+'TUSD BE'!$AB$34+'TUSD BE'!$AD$34+'TUSD BE'!$AL$34</f>
        <v>2589.428055456719</v>
      </c>
    </row>
    <row r="35" spans="1:42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>
        <f>'TUSD BE'!$L$35*'TUSD BE'!$L$58</f>
        <v>0</v>
      </c>
      <c r="M35" s="13">
        <f>'TUSD BE'!$M$35*'TUSD BE'!$M$58</f>
        <v>8.596018457734729E-2</v>
      </c>
      <c r="N35" s="13">
        <f ca="1">'TUSD BE'!$N$35*'TUSD BE'!$N$58</f>
        <v>0</v>
      </c>
      <c r="O35" s="13">
        <f>'TUSD BE'!$O$35*'TUSD BE'!$O$58</f>
        <v>0</v>
      </c>
      <c r="P35" s="13">
        <f>'TUSD BE'!$P$35*'TUSD BE'!$P$58</f>
        <v>0</v>
      </c>
      <c r="Q35" s="13">
        <f>'TUSD BE'!$Q$35*'TUSD BE'!$Q$58</f>
        <v>2.8114517340068605</v>
      </c>
      <c r="R35" s="13">
        <f>'TUSD BE'!$R$35*'TUSD BE'!$R$58</f>
        <v>0.38807822486594351</v>
      </c>
      <c r="S35" s="13">
        <f>'TUSD BE'!$R$35*'TUSD BE'!$S$58</f>
        <v>0</v>
      </c>
      <c r="T35" s="13">
        <f ca="1">SUM($L$35:$S$35)</f>
        <v>3.2854901434501511</v>
      </c>
      <c r="U35" s="13">
        <f>'TUSD BE'!$U$35*'TUSD BE'!$U$58</f>
        <v>0</v>
      </c>
      <c r="V35" s="13">
        <f>'TUSD BE'!$V$35*'TUSD BE'!$V$58</f>
        <v>0</v>
      </c>
      <c r="W35" s="13">
        <f>'TUSD BE'!$W$35*'TUSD BE'!$W$58</f>
        <v>0</v>
      </c>
      <c r="X35" s="13">
        <f>'TUSD BE'!$X$35*'TUSD BE'!$X$58</f>
        <v>0</v>
      </c>
      <c r="Y35" s="13">
        <f>'TUSD BE'!$Y$35*'TUSD BE'!$Y$58</f>
        <v>-9.2239245811954724</v>
      </c>
      <c r="Z35" s="13">
        <f>'TUSD BE'!$Z$35*'TUSD BE'!$Z$58</f>
        <v>0</v>
      </c>
      <c r="AA35" s="13">
        <f>'TUSD BE'!$AA$35*'TUSD BE'!$AA$58</f>
        <v>0</v>
      </c>
      <c r="AB35" s="13">
        <f>SUM($U$35:$AA$35)</f>
        <v>-9.2239245811954724</v>
      </c>
      <c r="AC35" s="13">
        <f>'TUSD BE'!$AC$35*'TUSD BE'!$AC$58</f>
        <v>-349.47140081272198</v>
      </c>
      <c r="AD35" s="13">
        <f>SUM($AC$35:$AC$35)</f>
        <v>-349.47140081272198</v>
      </c>
      <c r="AE35" s="13">
        <f ca="1">$AO$35*$AO$55</f>
        <v>-22.969493652983886</v>
      </c>
      <c r="AF35" s="13">
        <f ca="1">$AP$35*$AP$55</f>
        <v>0</v>
      </c>
      <c r="AG35" s="13">
        <f ca="1">SUM($AE$35:$AF$35)</f>
        <v>-22.969493652983886</v>
      </c>
      <c r="AH35" s="13">
        <f>'TUSD BE'!$AH$35*'TUSD BE'!$AH$58</f>
        <v>-0.12911565954765369</v>
      </c>
      <c r="AI35" s="13">
        <f>'TUSD BE'!$AI$35*'TUSD BE'!$AI$58</f>
        <v>0</v>
      </c>
      <c r="AJ35" s="13">
        <f ca="1">'TUSD BE'!$AJ$35*'TUSD BE'!$AJ$58</f>
        <v>0</v>
      </c>
      <c r="AK35" s="13">
        <f ca="1">'TUSD BE'!$AK$35*'TUSD BE'!$AK$58</f>
        <v>0</v>
      </c>
      <c r="AL35" s="13">
        <f ca="1">SUM($AH$35:$AK$35)</f>
        <v>-0.12911565954765369</v>
      </c>
      <c r="AM35" s="13">
        <f ca="1">SUMIF($L$4:$AL$4,"SUBTOTAL",$L$35:$AL$35)</f>
        <v>-378.50844456299887</v>
      </c>
      <c r="AO35" s="26">
        <f ca="1">+'TUSD BE'!$T$35+'TUSD BE'!$AB$35+'TUSD BE'!$AD$35+'TUSD BE'!$AL$35</f>
        <v>1606.5673975382379</v>
      </c>
      <c r="AP35" s="26">
        <f ca="1">+'TUSD BE'!$T$35+'TUSD BE'!$AB$35+'TUSD BE'!$AD$35+'TUSD BE'!$AL$35</f>
        <v>1606.5673975382379</v>
      </c>
    </row>
    <row r="36" spans="1:42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>
        <f>'TUSD BE'!$L$36*'TUSD BE'!$L$58</f>
        <v>0</v>
      </c>
      <c r="M36" s="13">
        <f>'TUSD BE'!$M$36*'TUSD BE'!$M$58</f>
        <v>8.596018457734729E-2</v>
      </c>
      <c r="N36" s="13">
        <f ca="1">'TUSD BE'!$N$36*'TUSD BE'!$N$58</f>
        <v>0</v>
      </c>
      <c r="O36" s="13">
        <f>'TUSD BE'!$O$36*'TUSD BE'!$O$58</f>
        <v>0</v>
      </c>
      <c r="P36" s="13">
        <f>'TUSD BE'!$P$36*'TUSD BE'!$P$58</f>
        <v>0</v>
      </c>
      <c r="Q36" s="13">
        <f>'TUSD BE'!$Q$36*'TUSD BE'!$Q$58</f>
        <v>2.8114517340068605</v>
      </c>
      <c r="R36" s="13">
        <f>'TUSD BE'!$R$36*'TUSD BE'!$R$58</f>
        <v>0.38807822486594351</v>
      </c>
      <c r="S36" s="13">
        <f>'TUSD BE'!$R$36*'TUSD BE'!$S$58</f>
        <v>0</v>
      </c>
      <c r="T36" s="13">
        <f ca="1">SUM($L$36:$S$36)</f>
        <v>3.2854901434501511</v>
      </c>
      <c r="U36" s="13">
        <f>'TUSD BE'!$U$36*'TUSD BE'!$U$58</f>
        <v>0</v>
      </c>
      <c r="V36" s="13">
        <f>'TUSD BE'!$V$36*'TUSD BE'!$V$58</f>
        <v>0</v>
      </c>
      <c r="W36" s="13">
        <f>'TUSD BE'!$W$36*'TUSD BE'!$W$58</f>
        <v>0</v>
      </c>
      <c r="X36" s="13">
        <f>'TUSD BE'!$X$36*'TUSD BE'!$X$58</f>
        <v>0</v>
      </c>
      <c r="Y36" s="13">
        <f>'TUSD BE'!$Y$36*'TUSD BE'!$Y$58</f>
        <v>-3.075317092466554</v>
      </c>
      <c r="Z36" s="13">
        <f>'TUSD BE'!$Z$36*'TUSD BE'!$Z$58</f>
        <v>0</v>
      </c>
      <c r="AA36" s="13">
        <f>'TUSD BE'!$AA$36*'TUSD BE'!$AA$58</f>
        <v>0</v>
      </c>
      <c r="AB36" s="13">
        <f>SUM($U$36:$AA$36)</f>
        <v>-3.075317092466554</v>
      </c>
      <c r="AC36" s="13">
        <f>'TUSD BE'!$AC$36*'TUSD BE'!$AC$58</f>
        <v>-116.49052425082522</v>
      </c>
      <c r="AD36" s="13">
        <f>SUM($AC$36:$AC$36)</f>
        <v>-116.49052425082522</v>
      </c>
      <c r="AE36" s="13">
        <f ca="1">$AO$36*$AO$55</f>
        <v>-8.9173003438409033</v>
      </c>
      <c r="AF36" s="13">
        <f ca="1">$AP$36*$AP$55</f>
        <v>0</v>
      </c>
      <c r="AG36" s="13">
        <f ca="1">SUM($AE$36:$AF$36)</f>
        <v>-8.9173003438409033</v>
      </c>
      <c r="AH36" s="13">
        <f>'TUSD BE'!$AH$36*'TUSD BE'!$AH$58</f>
        <v>-0.12911565954765369</v>
      </c>
      <c r="AI36" s="13">
        <f>'TUSD BE'!$AI$36*'TUSD BE'!$AI$58</f>
        <v>0</v>
      </c>
      <c r="AJ36" s="13">
        <f ca="1">'TUSD BE'!$AJ$36*'TUSD BE'!$AJ$58</f>
        <v>0</v>
      </c>
      <c r="AK36" s="13">
        <f ca="1">'TUSD BE'!$AK$36*'TUSD BE'!$AK$58</f>
        <v>0</v>
      </c>
      <c r="AL36" s="13">
        <f ca="1">SUM($AH$36:$AK$36)</f>
        <v>-0.12911565954765369</v>
      </c>
      <c r="AM36" s="13">
        <f ca="1">SUMIF($L$4:$AL$4,"SUBTOTAL",$L$36:$AL$36)</f>
        <v>-125.32676720323018</v>
      </c>
      <c r="AO36" s="26">
        <f ca="1">+'TUSD BE'!$T$36+'TUSD BE'!$AB$36+'TUSD BE'!$AD$36+'TUSD BE'!$AL$36</f>
        <v>623.70743660734729</v>
      </c>
      <c r="AP36" s="26">
        <f ca="1">+'TUSD BE'!$T$36+'TUSD BE'!$AB$36+'TUSD BE'!$AD$36+'TUSD BE'!$AL$36</f>
        <v>623.70743660734729</v>
      </c>
    </row>
    <row r="37" spans="1:42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>
        <f>'TUSD BE'!$L$37*'TUSD BE'!$L$58</f>
        <v>0</v>
      </c>
      <c r="M37" s="13">
        <f>'TUSD BE'!$M$37*'TUSD BE'!$M$58</f>
        <v>8.596018457734729E-2</v>
      </c>
      <c r="N37" s="13">
        <f ca="1">'TUSD BE'!$N$37*'TUSD BE'!$N$58</f>
        <v>0</v>
      </c>
      <c r="O37" s="13">
        <f>'TUSD BE'!$O$37*'TUSD BE'!$O$58</f>
        <v>0</v>
      </c>
      <c r="P37" s="13">
        <f>'TUSD BE'!$P$37*'TUSD BE'!$P$58</f>
        <v>0</v>
      </c>
      <c r="Q37" s="13">
        <f>'TUSD BE'!$Q$37*'TUSD BE'!$Q$58</f>
        <v>2.8114517340068605</v>
      </c>
      <c r="R37" s="13">
        <f>'TUSD BE'!$R$37*'TUSD BE'!$R$58</f>
        <v>0.38807822486594351</v>
      </c>
      <c r="S37" s="13">
        <f>'TUSD BE'!$R$37*'TUSD BE'!$S$58</f>
        <v>0</v>
      </c>
      <c r="T37" s="13">
        <f ca="1">SUM($L$37:$S$37)</f>
        <v>3.2854901434501511</v>
      </c>
      <c r="U37" s="13">
        <f>'TUSD BE'!$U$37*'TUSD BE'!$U$58</f>
        <v>0</v>
      </c>
      <c r="V37" s="13">
        <f>'TUSD BE'!$V$37*'TUSD BE'!$V$58</f>
        <v>0</v>
      </c>
      <c r="W37" s="13">
        <f>'TUSD BE'!$W$37*'TUSD BE'!$W$58</f>
        <v>0</v>
      </c>
      <c r="X37" s="13">
        <f>'TUSD BE'!$X$37*'TUSD BE'!$X$58</f>
        <v>0</v>
      </c>
      <c r="Y37" s="13">
        <f>'TUSD BE'!$Y$37*'TUSD BE'!$Y$58</f>
        <v>-4.5225312185018476</v>
      </c>
      <c r="Z37" s="13">
        <f>'TUSD BE'!$Z$37*'TUSD BE'!$Z$58</f>
        <v>0</v>
      </c>
      <c r="AA37" s="13">
        <f>'TUSD BE'!$AA$37*'TUSD BE'!$AA$58</f>
        <v>0</v>
      </c>
      <c r="AB37" s="13">
        <f>SUM($U$37:$AA$37)</f>
        <v>-4.5225312185018476</v>
      </c>
      <c r="AC37" s="13">
        <f>'TUSD BE'!$AC$37*'TUSD BE'!$AC$58</f>
        <v>-171.30952571060621</v>
      </c>
      <c r="AD37" s="13">
        <f>SUM($AC$37:$AC$37)</f>
        <v>-171.30952571060621</v>
      </c>
      <c r="AE37" s="13">
        <f ca="1">$AO$37*$AO$55</f>
        <v>-12.223917326026106</v>
      </c>
      <c r="AF37" s="13">
        <f ca="1">$AP$37*$AP$55</f>
        <v>0</v>
      </c>
      <c r="AG37" s="13">
        <f ca="1">SUM($AE$37:$AF$37)</f>
        <v>-12.223917326026106</v>
      </c>
      <c r="AH37" s="13">
        <f>'TUSD BE'!$AH$37*'TUSD BE'!$AH$58</f>
        <v>-0.12911565954765369</v>
      </c>
      <c r="AI37" s="13">
        <f>'TUSD BE'!$AI$37*'TUSD BE'!$AI$58</f>
        <v>0</v>
      </c>
      <c r="AJ37" s="13">
        <f ca="1">'TUSD BE'!$AJ$37*'TUSD BE'!$AJ$58</f>
        <v>0</v>
      </c>
      <c r="AK37" s="13">
        <f ca="1">'TUSD BE'!$AK$37*'TUSD BE'!$AK$58</f>
        <v>0</v>
      </c>
      <c r="AL37" s="13">
        <f ca="1">SUM($AH$37:$AK$37)</f>
        <v>-0.12911565954765369</v>
      </c>
      <c r="AM37" s="13">
        <f ca="1">SUMIF($L$4:$AL$4,"SUBTOTAL",$L$37:$AL$37)</f>
        <v>-184.89959977123169</v>
      </c>
      <c r="AO37" s="26">
        <f ca="1">+'TUSD BE'!$T$37+'TUSD BE'!$AB$37+'TUSD BE'!$AD$37+'TUSD BE'!$AL$37</f>
        <v>854.9838904979589</v>
      </c>
      <c r="AP37" s="26">
        <f ca="1">+'TUSD BE'!$T$37+'TUSD BE'!$AB$37+'TUSD BE'!$AD$37+'TUSD BE'!$AL$37</f>
        <v>854.9838904979589</v>
      </c>
    </row>
    <row r="38" spans="1:42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>
        <f>'TUSD BE'!$L$38*'TUSD BE'!$L$58</f>
        <v>0</v>
      </c>
      <c r="M38" s="13">
        <f>'TUSD BE'!$M$38*'TUSD BE'!$M$58</f>
        <v>8.596018457734729E-2</v>
      </c>
      <c r="N38" s="13">
        <f ca="1">'TUSD BE'!$N$38*'TUSD BE'!$N$58</f>
        <v>0</v>
      </c>
      <c r="O38" s="13">
        <f>'TUSD BE'!$O$38*'TUSD BE'!$O$58</f>
        <v>0</v>
      </c>
      <c r="P38" s="13">
        <f>'TUSD BE'!$P$38*'TUSD BE'!$P$58</f>
        <v>0</v>
      </c>
      <c r="Q38" s="13">
        <f>'TUSD BE'!$Q$38*'TUSD BE'!$Q$58</f>
        <v>2.8114517340068605</v>
      </c>
      <c r="R38" s="13">
        <f>'TUSD BE'!$R$38*'TUSD BE'!$R$58</f>
        <v>0.38807822486594351</v>
      </c>
      <c r="S38" s="13">
        <f>'TUSD BE'!$R$38*'TUSD BE'!$S$58</f>
        <v>0</v>
      </c>
      <c r="T38" s="13">
        <f ca="1">SUM($L$38:$S$38)</f>
        <v>3.2854901434501511</v>
      </c>
      <c r="U38" s="13">
        <f>'TUSD BE'!$U$38*'TUSD BE'!$U$58</f>
        <v>0</v>
      </c>
      <c r="V38" s="13">
        <f>'TUSD BE'!$V$38*'TUSD BE'!$V$58</f>
        <v>0</v>
      </c>
      <c r="W38" s="13">
        <f>'TUSD BE'!$W$38*'TUSD BE'!$W$58</f>
        <v>0</v>
      </c>
      <c r="X38" s="13">
        <f>'TUSD BE'!$X$38*'TUSD BE'!$X$58</f>
        <v>0</v>
      </c>
      <c r="Y38" s="13">
        <f>'TUSD BE'!$Y$38*'TUSD BE'!$Y$58</f>
        <v>-15.372532069924389</v>
      </c>
      <c r="Z38" s="13">
        <f>'TUSD BE'!$Z$38*'TUSD BE'!$Z$58</f>
        <v>0</v>
      </c>
      <c r="AA38" s="13">
        <f>'TUSD BE'!$AA$38*'TUSD BE'!$AA$58</f>
        <v>0</v>
      </c>
      <c r="AB38" s="13">
        <f>SUM($U$38:$AA$38)</f>
        <v>-15.372532069924389</v>
      </c>
      <c r="AC38" s="13">
        <f>'TUSD BE'!$AC$38*'TUSD BE'!$AC$58</f>
        <v>-582.45248370232321</v>
      </c>
      <c r="AD38" s="13">
        <f>SUM($AC$38:$AC$38)</f>
        <v>-582.45248370232321</v>
      </c>
      <c r="AE38" s="13">
        <f ca="1">$AO$38*$AO$55</f>
        <v>-37.021696927131799</v>
      </c>
      <c r="AF38" s="13">
        <f ca="1">$AP$38*$AP$55</f>
        <v>0</v>
      </c>
      <c r="AG38" s="13">
        <f ca="1">SUM($AE$38:$AF$38)</f>
        <v>-37.021696927131799</v>
      </c>
      <c r="AH38" s="13">
        <f>'TUSD BE'!$AH$38*'TUSD BE'!$AH$58</f>
        <v>-0.12911565954765369</v>
      </c>
      <c r="AI38" s="13">
        <f>'TUSD BE'!$AI$38*'TUSD BE'!$AI$58</f>
        <v>0</v>
      </c>
      <c r="AJ38" s="13">
        <f ca="1">'TUSD BE'!$AJ$38*'TUSD BE'!$AJ$58</f>
        <v>0</v>
      </c>
      <c r="AK38" s="13">
        <f ca="1">'TUSD BE'!$AK$38*'TUSD BE'!$AK$58</f>
        <v>0</v>
      </c>
      <c r="AL38" s="13">
        <f ca="1">SUM($AH$38:$AK$38)</f>
        <v>-0.12911565954765369</v>
      </c>
      <c r="AM38" s="13">
        <f ca="1">SUMIF($L$4:$AL$4,"SUBTOTAL",$L$38:$AL$38)</f>
        <v>-631.69033821547691</v>
      </c>
      <c r="AO38" s="26">
        <f ca="1">+'TUSD BE'!$T$38+'TUSD BE'!$AB$38+'TUSD BE'!$AD$38+'TUSD BE'!$AL$38</f>
        <v>2589.428055456719</v>
      </c>
      <c r="AP38" s="26">
        <f ca="1">+'TUSD BE'!$T$38+'TUSD BE'!$AB$38+'TUSD BE'!$AD$38+'TUSD BE'!$AL$38</f>
        <v>2589.428055456719</v>
      </c>
    </row>
    <row r="39" spans="1:42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>
        <f>'TUSD BE'!$L$39*'TUSD BE'!$L$58</f>
        <v>0</v>
      </c>
      <c r="M39" s="13">
        <f>'TUSD BE'!$M$39*'TUSD BE'!$M$58</f>
        <v>8.596018457734729E-2</v>
      </c>
      <c r="N39" s="13">
        <f ca="1">'TUSD BE'!$N$39*'TUSD BE'!$N$58</f>
        <v>0</v>
      </c>
      <c r="O39" s="13">
        <f>'TUSD BE'!$O$39*'TUSD BE'!$O$58</f>
        <v>0</v>
      </c>
      <c r="P39" s="13">
        <f>'TUSD BE'!$P$39*'TUSD BE'!$P$58</f>
        <v>0</v>
      </c>
      <c r="Q39" s="13">
        <f>'TUSD BE'!$Q$39*'TUSD BE'!$Q$58</f>
        <v>2.8114517340068605</v>
      </c>
      <c r="R39" s="13">
        <f>'TUSD BE'!$R$39*'TUSD BE'!$R$58</f>
        <v>0.38807822486594351</v>
      </c>
      <c r="S39" s="13">
        <f>'TUSD BE'!$R$39*'TUSD BE'!$S$58</f>
        <v>0</v>
      </c>
      <c r="T39" s="13">
        <f ca="1">SUM($L$39:$S$39)</f>
        <v>3.2854901434501511</v>
      </c>
      <c r="U39" s="13">
        <f>'TUSD BE'!$U$39*'TUSD BE'!$U$58</f>
        <v>0</v>
      </c>
      <c r="V39" s="13">
        <f>'TUSD BE'!$V$39*'TUSD BE'!$V$58</f>
        <v>0</v>
      </c>
      <c r="W39" s="13">
        <f>'TUSD BE'!$W$39*'TUSD BE'!$W$58</f>
        <v>0</v>
      </c>
      <c r="X39" s="13">
        <f>'TUSD BE'!$X$39*'TUSD BE'!$X$58</f>
        <v>0</v>
      </c>
      <c r="Y39" s="13">
        <f>'TUSD BE'!$Y$39*'TUSD BE'!$Y$58</f>
        <v>-9.2239245811954724</v>
      </c>
      <c r="Z39" s="13">
        <f>'TUSD BE'!$Z$39*'TUSD BE'!$Z$58</f>
        <v>0</v>
      </c>
      <c r="AA39" s="13">
        <f>'TUSD BE'!$AA$39*'TUSD BE'!$AA$58</f>
        <v>0</v>
      </c>
      <c r="AB39" s="13">
        <f>SUM($U$39:$AA$39)</f>
        <v>-9.2239245811954724</v>
      </c>
      <c r="AC39" s="13">
        <f>'TUSD BE'!$AC$39*'TUSD BE'!$AC$58</f>
        <v>-349.47140081272198</v>
      </c>
      <c r="AD39" s="13">
        <f>SUM($AC$39:$AC$39)</f>
        <v>-349.47140081272198</v>
      </c>
      <c r="AE39" s="13">
        <f ca="1">$AO$39*$AO$55</f>
        <v>-22.969493652983886</v>
      </c>
      <c r="AF39" s="13">
        <f ca="1">$AP$39*$AP$55</f>
        <v>0</v>
      </c>
      <c r="AG39" s="13">
        <f ca="1">SUM($AE$39:$AF$39)</f>
        <v>-22.969493652983886</v>
      </c>
      <c r="AH39" s="13">
        <f>'TUSD BE'!$AH$39*'TUSD BE'!$AH$58</f>
        <v>-0.12911565954765369</v>
      </c>
      <c r="AI39" s="13">
        <f>'TUSD BE'!$AI$39*'TUSD BE'!$AI$58</f>
        <v>0</v>
      </c>
      <c r="AJ39" s="13">
        <f ca="1">'TUSD BE'!$AJ$39*'TUSD BE'!$AJ$58</f>
        <v>0</v>
      </c>
      <c r="AK39" s="13">
        <f ca="1">'TUSD BE'!$AK$39*'TUSD BE'!$AK$58</f>
        <v>0</v>
      </c>
      <c r="AL39" s="13">
        <f ca="1">SUM($AH$39:$AK$39)</f>
        <v>-0.12911565954765369</v>
      </c>
      <c r="AM39" s="13">
        <f ca="1">SUMIF($L$4:$AL$4,"SUBTOTAL",$L$39:$AL$39)</f>
        <v>-378.50844456299887</v>
      </c>
      <c r="AO39" s="26">
        <f ca="1">+'TUSD BE'!$T$39+'TUSD BE'!$AB$39+'TUSD BE'!$AD$39+'TUSD BE'!$AL$39</f>
        <v>1606.5673975382379</v>
      </c>
      <c r="AP39" s="26">
        <f ca="1">+'TUSD BE'!$T$39+'TUSD BE'!$AB$39+'TUSD BE'!$AD$39+'TUSD BE'!$AL$39</f>
        <v>1606.5673975382379</v>
      </c>
    </row>
    <row r="40" spans="1:42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>
        <f>'TUSD BE'!$L$40*'TUSD BE'!$L$58</f>
        <v>0</v>
      </c>
      <c r="M40" s="13">
        <f>'TUSD BE'!$M$40*'TUSD BE'!$M$58</f>
        <v>8.596018457734729E-2</v>
      </c>
      <c r="N40" s="13">
        <f ca="1">'TUSD BE'!$N$40*'TUSD BE'!$N$58</f>
        <v>0</v>
      </c>
      <c r="O40" s="13">
        <f>'TUSD BE'!$O$40*'TUSD BE'!$O$58</f>
        <v>0</v>
      </c>
      <c r="P40" s="13">
        <f>'TUSD BE'!$P$40*'TUSD BE'!$P$58</f>
        <v>0</v>
      </c>
      <c r="Q40" s="13">
        <f>'TUSD BE'!$Q$40*'TUSD BE'!$Q$58</f>
        <v>2.8114517340068605</v>
      </c>
      <c r="R40" s="13">
        <f>'TUSD BE'!$R$40*'TUSD BE'!$R$58</f>
        <v>0.38807822486594351</v>
      </c>
      <c r="S40" s="13">
        <f>'TUSD BE'!$R$40*'TUSD BE'!$S$58</f>
        <v>0</v>
      </c>
      <c r="T40" s="13">
        <f ca="1">SUM($L$40:$S$40)</f>
        <v>3.2854901434501511</v>
      </c>
      <c r="U40" s="13">
        <f>'TUSD BE'!$U$40*'TUSD BE'!$U$58</f>
        <v>0</v>
      </c>
      <c r="V40" s="13">
        <f>'TUSD BE'!$V$40*'TUSD BE'!$V$58</f>
        <v>0</v>
      </c>
      <c r="W40" s="13">
        <f>'TUSD BE'!$W$40*'TUSD BE'!$W$58</f>
        <v>0</v>
      </c>
      <c r="X40" s="13">
        <f>'TUSD BE'!$X$40*'TUSD BE'!$X$58</f>
        <v>0</v>
      </c>
      <c r="Y40" s="13">
        <f>'TUSD BE'!$Y$40*'TUSD BE'!$Y$58</f>
        <v>-3.075317092466554</v>
      </c>
      <c r="Z40" s="13">
        <f>'TUSD BE'!$Z$40*'TUSD BE'!$Z$58</f>
        <v>0</v>
      </c>
      <c r="AA40" s="13">
        <f>'TUSD BE'!$AA$40*'TUSD BE'!$AA$58</f>
        <v>0</v>
      </c>
      <c r="AB40" s="13">
        <f>SUM($U$40:$AA$40)</f>
        <v>-3.075317092466554</v>
      </c>
      <c r="AC40" s="13">
        <f>'TUSD BE'!$AC$40*'TUSD BE'!$AC$58</f>
        <v>-116.49052425082522</v>
      </c>
      <c r="AD40" s="13">
        <f>SUM($AC$40:$AC$40)</f>
        <v>-116.49052425082522</v>
      </c>
      <c r="AE40" s="13">
        <f ca="1">$AO$40*$AO$55</f>
        <v>-8.9173003438409033</v>
      </c>
      <c r="AF40" s="13">
        <f ca="1">$AP$40*$AP$55</f>
        <v>0</v>
      </c>
      <c r="AG40" s="13">
        <f ca="1">SUM($AE$40:$AF$40)</f>
        <v>-8.9173003438409033</v>
      </c>
      <c r="AH40" s="13">
        <f>'TUSD BE'!$AH$40*'TUSD BE'!$AH$58</f>
        <v>-0.12911565954765369</v>
      </c>
      <c r="AI40" s="13">
        <f>'TUSD BE'!$AI$40*'TUSD BE'!$AI$58</f>
        <v>0</v>
      </c>
      <c r="AJ40" s="13">
        <f ca="1">'TUSD BE'!$AJ$40*'TUSD BE'!$AJ$58</f>
        <v>0</v>
      </c>
      <c r="AK40" s="13">
        <f ca="1">'TUSD BE'!$AK$40*'TUSD BE'!$AK$58</f>
        <v>0</v>
      </c>
      <c r="AL40" s="13">
        <f ca="1">SUM($AH$40:$AK$40)</f>
        <v>-0.12911565954765369</v>
      </c>
      <c r="AM40" s="13">
        <f ca="1">SUMIF($L$4:$AL$4,"SUBTOTAL",$L$40:$AL$40)</f>
        <v>-125.32676720323018</v>
      </c>
      <c r="AO40" s="26">
        <f ca="1">+'TUSD BE'!$T$40+'TUSD BE'!$AB$40+'TUSD BE'!$AD$40+'TUSD BE'!$AL$40</f>
        <v>623.70743660734729</v>
      </c>
      <c r="AP40" s="26">
        <f ca="1">+'TUSD BE'!$T$40+'TUSD BE'!$AB$40+'TUSD BE'!$AD$40+'TUSD BE'!$AL$40</f>
        <v>623.70743660734729</v>
      </c>
    </row>
    <row r="41" spans="1:42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>
        <f>'TUSD BE'!$L$41*'TUSD BE'!$L$58</f>
        <v>0</v>
      </c>
      <c r="M41" s="13">
        <f>'TUSD BE'!$M$41*'TUSD BE'!$M$58</f>
        <v>8.596018457734729E-2</v>
      </c>
      <c r="N41" s="13">
        <f ca="1">'TUSD BE'!$N$41*'TUSD BE'!$N$58</f>
        <v>0</v>
      </c>
      <c r="O41" s="13">
        <f>'TUSD BE'!$O$41*'TUSD BE'!$O$58</f>
        <v>0</v>
      </c>
      <c r="P41" s="13">
        <f>'TUSD BE'!$P$41*'TUSD BE'!$P$58</f>
        <v>0</v>
      </c>
      <c r="Q41" s="13">
        <f>'TUSD BE'!$Q$41*'TUSD BE'!$Q$58</f>
        <v>2.8114517340068605</v>
      </c>
      <c r="R41" s="13">
        <f>'TUSD BE'!$R$41*'TUSD BE'!$R$58</f>
        <v>0.38807822486594351</v>
      </c>
      <c r="S41" s="13">
        <f>'TUSD BE'!$R$41*'TUSD BE'!$S$58</f>
        <v>0</v>
      </c>
      <c r="T41" s="13">
        <f ca="1">SUM($L$41:$S$41)</f>
        <v>3.2854901434501511</v>
      </c>
      <c r="U41" s="13">
        <f>'TUSD BE'!$U$41*'TUSD BE'!$U$58</f>
        <v>0</v>
      </c>
      <c r="V41" s="13">
        <f>'TUSD BE'!$V$41*'TUSD BE'!$V$58</f>
        <v>0</v>
      </c>
      <c r="W41" s="13">
        <f>'TUSD BE'!$W$41*'TUSD BE'!$W$58</f>
        <v>0</v>
      </c>
      <c r="X41" s="13">
        <f>'TUSD BE'!$X$41*'TUSD BE'!$X$58</f>
        <v>0</v>
      </c>
      <c r="Y41" s="13">
        <f>'TUSD BE'!$Y$41*'TUSD BE'!$Y$58</f>
        <v>-4.5225312185018476</v>
      </c>
      <c r="Z41" s="13">
        <f>'TUSD BE'!$Z$41*'TUSD BE'!$Z$58</f>
        <v>0</v>
      </c>
      <c r="AA41" s="13">
        <f>'TUSD BE'!$AA$41*'TUSD BE'!$AA$58</f>
        <v>0</v>
      </c>
      <c r="AB41" s="13">
        <f>SUM($U$41:$AA$41)</f>
        <v>-4.5225312185018476</v>
      </c>
      <c r="AC41" s="13">
        <f>'TUSD BE'!$AC$41*'TUSD BE'!$AC$58</f>
        <v>-171.30952571060621</v>
      </c>
      <c r="AD41" s="13">
        <f>SUM($AC$41:$AC$41)</f>
        <v>-171.30952571060621</v>
      </c>
      <c r="AE41" s="13">
        <f ca="1">$AO$41*$AO$55</f>
        <v>-12.223917326026106</v>
      </c>
      <c r="AF41" s="13">
        <f ca="1">$AP$41*$AP$55</f>
        <v>0</v>
      </c>
      <c r="AG41" s="13">
        <f ca="1">SUM($AE$41:$AF$41)</f>
        <v>-12.223917326026106</v>
      </c>
      <c r="AH41" s="13">
        <f>'TUSD BE'!$AH$41*'TUSD BE'!$AH$58</f>
        <v>-0.12911565954765369</v>
      </c>
      <c r="AI41" s="13">
        <f>'TUSD BE'!$AI$41*'TUSD BE'!$AI$58</f>
        <v>0</v>
      </c>
      <c r="AJ41" s="13">
        <f ca="1">'TUSD BE'!$AJ$41*'TUSD BE'!$AJ$58</f>
        <v>0</v>
      </c>
      <c r="AK41" s="13">
        <f ca="1">'TUSD BE'!$AK$41*'TUSD BE'!$AK$58</f>
        <v>0</v>
      </c>
      <c r="AL41" s="13">
        <f ca="1">SUM($AH$41:$AK$41)</f>
        <v>-0.12911565954765369</v>
      </c>
      <c r="AM41" s="13">
        <f ca="1">SUMIF($L$4:$AL$4,"SUBTOTAL",$L$41:$AL$41)</f>
        <v>-184.89959977123169</v>
      </c>
      <c r="AO41" s="26">
        <f ca="1">+'TUSD BE'!$T$41+'TUSD BE'!$AB$41+'TUSD BE'!$AD$41+'TUSD BE'!$AL$41</f>
        <v>854.9838904979589</v>
      </c>
      <c r="AP41" s="26">
        <f ca="1">+'TUSD BE'!$T$41+'TUSD BE'!$AB$41+'TUSD BE'!$AD$41+'TUSD BE'!$AL$41</f>
        <v>854.9838904979589</v>
      </c>
    </row>
    <row r="42" spans="1:42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>
        <f>'TUSD BE'!$L$42*'TUSD BE'!$L$58</f>
        <v>0</v>
      </c>
      <c r="M42" s="13">
        <f>'TUSD BE'!$M$42*'TUSD BE'!$M$58</f>
        <v>8.596018457734729E-2</v>
      </c>
      <c r="N42" s="13">
        <f ca="1">'TUSD BE'!$N$42*'TUSD BE'!$N$58</f>
        <v>0</v>
      </c>
      <c r="O42" s="13">
        <f>'TUSD BE'!$O$42*'TUSD BE'!$O$58</f>
        <v>0</v>
      </c>
      <c r="P42" s="13">
        <f>'TUSD BE'!$P$42*'TUSD BE'!$P$58</f>
        <v>0</v>
      </c>
      <c r="Q42" s="13">
        <f>'TUSD BE'!$Q$42*'TUSD BE'!$Q$58</f>
        <v>2.8114517340068605</v>
      </c>
      <c r="R42" s="13">
        <f>'TUSD BE'!$R$42*'TUSD BE'!$R$58</f>
        <v>0.38807822486594351</v>
      </c>
      <c r="S42" s="13">
        <f>'TUSD BE'!$R$42*'TUSD BE'!$S$58</f>
        <v>0</v>
      </c>
      <c r="T42" s="13">
        <f ca="1">SUM($L$42:$S$42)</f>
        <v>3.2854901434501511</v>
      </c>
      <c r="U42" s="13">
        <f>'TUSD BE'!$U$42*'TUSD BE'!$U$58</f>
        <v>0</v>
      </c>
      <c r="V42" s="13">
        <f>'TUSD BE'!$V$42*'TUSD BE'!$V$58</f>
        <v>0</v>
      </c>
      <c r="W42" s="13">
        <f>'TUSD BE'!$W$42*'TUSD BE'!$W$58</f>
        <v>0</v>
      </c>
      <c r="X42" s="13">
        <f>'TUSD BE'!$X$42*'TUSD BE'!$X$58</f>
        <v>0</v>
      </c>
      <c r="Y42" s="13">
        <f>'TUSD BE'!$Y$42*'TUSD BE'!$Y$58</f>
        <v>-4.5225312185018476</v>
      </c>
      <c r="Z42" s="13">
        <f>'TUSD BE'!$Z$42*'TUSD BE'!$Z$58</f>
        <v>0</v>
      </c>
      <c r="AA42" s="13">
        <f>'TUSD BE'!$AA$42*'TUSD BE'!$AA$58</f>
        <v>0</v>
      </c>
      <c r="AB42" s="13">
        <f>SUM($U$42:$AA$42)</f>
        <v>-4.5225312185018476</v>
      </c>
      <c r="AC42" s="13">
        <f>'TUSD BE'!$AC$42*'TUSD BE'!$AC$58</f>
        <v>-171.30952571060621</v>
      </c>
      <c r="AD42" s="13">
        <f>SUM($AC$42:$AC$42)</f>
        <v>-171.30952571060621</v>
      </c>
      <c r="AE42" s="13">
        <f ca="1">$AO$42*$AO$55</f>
        <v>-12.223917326026106</v>
      </c>
      <c r="AF42" s="13">
        <f ca="1">$AP$42*$AP$55</f>
        <v>0</v>
      </c>
      <c r="AG42" s="13">
        <f ca="1">SUM($AE$42:$AF$42)</f>
        <v>-12.223917326026106</v>
      </c>
      <c r="AH42" s="13">
        <f>'TUSD BE'!$AH$42*'TUSD BE'!$AH$58</f>
        <v>-0.12911565954765369</v>
      </c>
      <c r="AI42" s="13">
        <f>'TUSD BE'!$AI$42*'TUSD BE'!$AI$58</f>
        <v>0</v>
      </c>
      <c r="AJ42" s="13">
        <f ca="1">'TUSD BE'!$AJ$42*'TUSD BE'!$AJ$58</f>
        <v>0</v>
      </c>
      <c r="AK42" s="13">
        <f ca="1">'TUSD BE'!$AK$42*'TUSD BE'!$AK$58</f>
        <v>0</v>
      </c>
      <c r="AL42" s="13">
        <f ca="1">SUM($AH$42:$AK$42)</f>
        <v>-0.12911565954765369</v>
      </c>
      <c r="AM42" s="13">
        <f ca="1">SUMIF($L$4:$AL$4,"SUBTOTAL",$L$42:$AL$42)</f>
        <v>-184.89959977123169</v>
      </c>
      <c r="AO42" s="26">
        <f ca="1">+'TUSD BE'!$T$42+'TUSD BE'!$AB$42+'TUSD BE'!$AD$42+'TUSD BE'!$AL$42</f>
        <v>854.9838904979589</v>
      </c>
      <c r="AP42" s="26">
        <f ca="1">+'TUSD BE'!$T$42+'TUSD BE'!$AB$42+'TUSD BE'!$AD$42+'TUSD BE'!$AL$42</f>
        <v>854.9838904979589</v>
      </c>
    </row>
    <row r="43" spans="1:42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>
        <f>'TUSD BE'!$L$43*'TUSD BE'!$L$58</f>
        <v>0</v>
      </c>
      <c r="M43" s="13">
        <f>'TUSD BE'!$M$43*'TUSD BE'!$M$58</f>
        <v>8.596018457734729E-2</v>
      </c>
      <c r="N43" s="13">
        <f ca="1">'TUSD BE'!$N$43*'TUSD BE'!$N$58</f>
        <v>0</v>
      </c>
      <c r="O43" s="13">
        <f>'TUSD BE'!$O$43*'TUSD BE'!$O$58</f>
        <v>0</v>
      </c>
      <c r="P43" s="13">
        <f>'TUSD BE'!$P$43*'TUSD BE'!$P$58</f>
        <v>0</v>
      </c>
      <c r="Q43" s="13">
        <f>'TUSD BE'!$Q$43*'TUSD BE'!$Q$58</f>
        <v>2.8114517340068605</v>
      </c>
      <c r="R43" s="13">
        <f>'TUSD BE'!$R$43*'TUSD BE'!$R$58</f>
        <v>0.38807822486594351</v>
      </c>
      <c r="S43" s="13">
        <f>'TUSD BE'!$R$43*'TUSD BE'!$S$58</f>
        <v>0</v>
      </c>
      <c r="T43" s="13">
        <f ca="1">SUM($L$43:$S$43)</f>
        <v>3.2854901434501511</v>
      </c>
      <c r="U43" s="13">
        <f>'TUSD BE'!$U$43*'TUSD BE'!$U$58</f>
        <v>0</v>
      </c>
      <c r="V43" s="13">
        <f>'TUSD BE'!$V$43*'TUSD BE'!$V$58</f>
        <v>0</v>
      </c>
      <c r="W43" s="13">
        <f>'TUSD BE'!$W$43*'TUSD BE'!$W$58</f>
        <v>0</v>
      </c>
      <c r="X43" s="13">
        <f>'TUSD BE'!$X$43*'TUSD BE'!$X$58</f>
        <v>0</v>
      </c>
      <c r="Y43" s="13">
        <f>'TUSD BE'!$Y$43*'TUSD BE'!$Y$58</f>
        <v>-4.5225312185018476</v>
      </c>
      <c r="Z43" s="13">
        <f>'TUSD BE'!$Z$43*'TUSD BE'!$Z$58</f>
        <v>0</v>
      </c>
      <c r="AA43" s="13">
        <f>'TUSD BE'!$AA$43*'TUSD BE'!$AA$58</f>
        <v>0</v>
      </c>
      <c r="AB43" s="13">
        <f>SUM($U$43:$AA$43)</f>
        <v>-4.5225312185018476</v>
      </c>
      <c r="AC43" s="13">
        <f>'TUSD BE'!$AC$43*'TUSD BE'!$AC$58</f>
        <v>-171.30952571060621</v>
      </c>
      <c r="AD43" s="13">
        <f>SUM($AC$43:$AC$43)</f>
        <v>-171.30952571060621</v>
      </c>
      <c r="AE43" s="13">
        <f ca="1">$AO$43*$AO$55</f>
        <v>-12.223917326026106</v>
      </c>
      <c r="AF43" s="13">
        <f ca="1">$AP$43*$AP$55</f>
        <v>0</v>
      </c>
      <c r="AG43" s="13">
        <f ca="1">SUM($AE$43:$AF$43)</f>
        <v>-12.223917326026106</v>
      </c>
      <c r="AH43" s="13">
        <f>'TUSD BE'!$AH$43*'TUSD BE'!$AH$58</f>
        <v>-0.12911565954765369</v>
      </c>
      <c r="AI43" s="13">
        <f>'TUSD BE'!$AI$43*'TUSD BE'!$AI$58</f>
        <v>0</v>
      </c>
      <c r="AJ43" s="13">
        <f ca="1">'TUSD BE'!$AJ$43*'TUSD BE'!$AJ$58</f>
        <v>0</v>
      </c>
      <c r="AK43" s="13">
        <f ca="1">'TUSD BE'!$AK$43*'TUSD BE'!$AK$58</f>
        <v>0</v>
      </c>
      <c r="AL43" s="13">
        <f ca="1">SUM($AH$43:$AK$43)</f>
        <v>-0.12911565954765369</v>
      </c>
      <c r="AM43" s="13">
        <f ca="1">SUMIF($L$4:$AL$4,"SUBTOTAL",$L$43:$AL$43)</f>
        <v>-184.89959977123169</v>
      </c>
      <c r="AO43" s="26">
        <f ca="1">+'TUSD BE'!$T$43+'TUSD BE'!$AB$43+'TUSD BE'!$AD$43+'TUSD BE'!$AL$43</f>
        <v>854.9838904979589</v>
      </c>
      <c r="AP43" s="26">
        <f ca="1">+'TUSD BE'!$T$43+'TUSD BE'!$AB$43+'TUSD BE'!$AD$43+'TUSD BE'!$AL$43</f>
        <v>854.9838904979589</v>
      </c>
    </row>
    <row r="44" spans="1:42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>
        <f>'TUSD BE'!$L$44*'TUSD BE'!$L$58</f>
        <v>0</v>
      </c>
      <c r="M44" s="13">
        <f>'TUSD BE'!$M$44*'TUSD BE'!$M$58</f>
        <v>8.596018457734729E-2</v>
      </c>
      <c r="N44" s="13">
        <f ca="1">'TUSD BE'!$N$44*'TUSD BE'!$N$58</f>
        <v>0</v>
      </c>
      <c r="O44" s="13">
        <f>'TUSD BE'!$O$44*'TUSD BE'!$O$58</f>
        <v>0</v>
      </c>
      <c r="P44" s="13">
        <f>'TUSD BE'!$P$44*'TUSD BE'!$P$58</f>
        <v>0</v>
      </c>
      <c r="Q44" s="13">
        <f>'TUSD BE'!$Q$44*'TUSD BE'!$Q$58</f>
        <v>2.8114517340068605</v>
      </c>
      <c r="R44" s="13">
        <f>'TUSD BE'!$R$44*'TUSD BE'!$R$58</f>
        <v>0.38807822486594351</v>
      </c>
      <c r="S44" s="13">
        <f>'TUSD BE'!$R$44*'TUSD BE'!$S$58</f>
        <v>0</v>
      </c>
      <c r="T44" s="13">
        <f ca="1">SUM($L$44:$S$44)</f>
        <v>3.2854901434501511</v>
      </c>
      <c r="U44" s="13">
        <f>'TUSD BE'!$U$44*'TUSD BE'!$U$58</f>
        <v>0</v>
      </c>
      <c r="V44" s="13">
        <f>'TUSD BE'!$V$44*'TUSD BE'!$V$58</f>
        <v>0</v>
      </c>
      <c r="W44" s="13">
        <f>'TUSD BE'!$W$44*'TUSD BE'!$W$58</f>
        <v>0</v>
      </c>
      <c r="X44" s="13">
        <f>'TUSD BE'!$X$44*'TUSD BE'!$X$58</f>
        <v>0</v>
      </c>
      <c r="Y44" s="13">
        <f>'TUSD BE'!$Y$44*'TUSD BE'!$Y$58</f>
        <v>-4.5225312185018476</v>
      </c>
      <c r="Z44" s="13">
        <f>'TUSD BE'!$Z$44*'TUSD BE'!$Z$58</f>
        <v>0</v>
      </c>
      <c r="AA44" s="13">
        <f>'TUSD BE'!$AA$44*'TUSD BE'!$AA$58</f>
        <v>0</v>
      </c>
      <c r="AB44" s="13">
        <f>SUM($U$44:$AA$44)</f>
        <v>-4.5225312185018476</v>
      </c>
      <c r="AC44" s="13">
        <f>'TUSD BE'!$AC$44*'TUSD BE'!$AC$58</f>
        <v>-171.30952571060621</v>
      </c>
      <c r="AD44" s="13">
        <f>SUM($AC$44:$AC$44)</f>
        <v>-171.30952571060621</v>
      </c>
      <c r="AE44" s="13">
        <f ca="1">$AO$44*$AO$55</f>
        <v>-12.223917326026106</v>
      </c>
      <c r="AF44" s="13">
        <f ca="1">$AP$44*$AP$55</f>
        <v>0</v>
      </c>
      <c r="AG44" s="13">
        <f ca="1">SUM($AE$44:$AF$44)</f>
        <v>-12.223917326026106</v>
      </c>
      <c r="AH44" s="13">
        <f>'TUSD BE'!$AH$44*'TUSD BE'!$AH$58</f>
        <v>-0.12911565954765369</v>
      </c>
      <c r="AI44" s="13">
        <f>'TUSD BE'!$AI$44*'TUSD BE'!$AI$58</f>
        <v>0</v>
      </c>
      <c r="AJ44" s="13">
        <f ca="1">'TUSD BE'!$AJ$44*'TUSD BE'!$AJ$58</f>
        <v>0</v>
      </c>
      <c r="AK44" s="13">
        <f ca="1">'TUSD BE'!$AK$44*'TUSD BE'!$AK$58</f>
        <v>0</v>
      </c>
      <c r="AL44" s="13">
        <f ca="1">SUM($AH$44:$AK$44)</f>
        <v>-0.12911565954765369</v>
      </c>
      <c r="AM44" s="13">
        <f ca="1">SUMIF($L$4:$AL$4,"SUBTOTAL",$L$44:$AL$44)</f>
        <v>-184.89959977123169</v>
      </c>
      <c r="AO44" s="26">
        <f ca="1">+'TUSD BE'!$T$44+'TUSD BE'!$AB$44+'TUSD BE'!$AD$44+'TUSD BE'!$AL$44</f>
        <v>854.9838904979589</v>
      </c>
      <c r="AP44" s="26">
        <f ca="1">+'TUSD BE'!$T$44+'TUSD BE'!$AB$44+'TUSD BE'!$AD$44+'TUSD BE'!$AL$44</f>
        <v>854.9838904979589</v>
      </c>
    </row>
    <row r="45" spans="1:42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>
        <f>'TUSD BE'!$L$45*'TUSD BE'!$L$58</f>
        <v>0</v>
      </c>
      <c r="M45" s="13">
        <f>'TUSD BE'!$M$45*'TUSD BE'!$M$58</f>
        <v>8.596018457734729E-2</v>
      </c>
      <c r="N45" s="13">
        <f ca="1">'TUSD BE'!$N$45*'TUSD BE'!$N$58</f>
        <v>0</v>
      </c>
      <c r="O45" s="13">
        <f>'TUSD BE'!$O$45*'TUSD BE'!$O$58</f>
        <v>0</v>
      </c>
      <c r="P45" s="13">
        <f>'TUSD BE'!$P$45*'TUSD BE'!$P$58</f>
        <v>0</v>
      </c>
      <c r="Q45" s="13">
        <f>'TUSD BE'!$Q$45*'TUSD BE'!$Q$58</f>
        <v>2.8114517340068605</v>
      </c>
      <c r="R45" s="13">
        <f>'TUSD BE'!$R$45*'TUSD BE'!$R$58</f>
        <v>0.38807822486594351</v>
      </c>
      <c r="S45" s="13">
        <f>'TUSD BE'!$R$45*'TUSD BE'!$S$58</f>
        <v>0</v>
      </c>
      <c r="T45" s="13">
        <f ca="1">SUM($L$45:$S$45)</f>
        <v>3.2854901434501511</v>
      </c>
      <c r="U45" s="13">
        <f>'TUSD BE'!$U$45*'TUSD BE'!$U$58</f>
        <v>0</v>
      </c>
      <c r="V45" s="13">
        <f>'TUSD BE'!$V$45*'TUSD BE'!$V$58</f>
        <v>0</v>
      </c>
      <c r="W45" s="13">
        <f>'TUSD BE'!$W$45*'TUSD BE'!$W$58</f>
        <v>0</v>
      </c>
      <c r="X45" s="13">
        <f>'TUSD BE'!$X$45*'TUSD BE'!$X$58</f>
        <v>0</v>
      </c>
      <c r="Y45" s="13">
        <f>'TUSD BE'!$Y$45*'TUSD BE'!$Y$58</f>
        <v>-15.6001796870313</v>
      </c>
      <c r="Z45" s="13">
        <f>'TUSD BE'!$Z$45*'TUSD BE'!$Z$58</f>
        <v>0</v>
      </c>
      <c r="AA45" s="13">
        <f>'TUSD BE'!$AA$45*'TUSD BE'!$AA$58</f>
        <v>0</v>
      </c>
      <c r="AB45" s="13">
        <f>SUM($U$45:$AA$45)</f>
        <v>-15.6001796870313</v>
      </c>
      <c r="AC45" s="13">
        <f>'TUSD BE'!$AC$45*'TUSD BE'!$AC$58</f>
        <v>-591.01786885978402</v>
      </c>
      <c r="AD45" s="13">
        <f>SUM($AC$45:$AC$45)</f>
        <v>-591.01786885978402</v>
      </c>
      <c r="AE45" s="13">
        <f ca="1">$AO$45*$AO$55</f>
        <v>-37.539044138616177</v>
      </c>
      <c r="AF45" s="13">
        <f ca="1">$AP$45*$AP$55</f>
        <v>0</v>
      </c>
      <c r="AG45" s="13">
        <f ca="1">SUM($AE$45:$AF$45)</f>
        <v>-37.539044138616177</v>
      </c>
      <c r="AH45" s="13">
        <f>'TUSD BE'!$AH$45*'TUSD BE'!$AH$58</f>
        <v>-0.12911565954765369</v>
      </c>
      <c r="AI45" s="13">
        <f>'TUSD BE'!$AI$45*'TUSD BE'!$AI$58</f>
        <v>0</v>
      </c>
      <c r="AJ45" s="13">
        <f ca="1">'TUSD BE'!$AJ$45*'TUSD BE'!$AJ$58</f>
        <v>0</v>
      </c>
      <c r="AK45" s="13">
        <f ca="1">'TUSD BE'!$AK$45*'TUSD BE'!$AK$58</f>
        <v>0</v>
      </c>
      <c r="AL45" s="13">
        <f ca="1">SUM($AH$45:$AK$45)</f>
        <v>-0.12911565954765369</v>
      </c>
      <c r="AM45" s="13">
        <f ca="1">SUMIF($L$4:$AL$4,"SUBTOTAL",$L$45:$AL$45)</f>
        <v>-641.00071820152903</v>
      </c>
      <c r="AO45" s="26">
        <f ca="1">+'TUSD BE'!$T$45+'TUSD BE'!$AB$45+'TUSD BE'!$AD$45+'TUSD BE'!$AL$45</f>
        <v>2625.6131440675058</v>
      </c>
      <c r="AP45" s="26">
        <f ca="1">+'TUSD BE'!$T$45+'TUSD BE'!$AB$45+'TUSD BE'!$AD$45+'TUSD BE'!$AL$45</f>
        <v>2625.6131440675058</v>
      </c>
    </row>
    <row r="46" spans="1:42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>
        <f>'TUSD BE'!$L$46*'TUSD BE'!$L$58</f>
        <v>0</v>
      </c>
      <c r="M46" s="13">
        <f>'TUSD BE'!$M$46*'TUSD BE'!$M$58</f>
        <v>8.596018457734729E-2</v>
      </c>
      <c r="N46" s="13">
        <f ca="1">'TUSD BE'!$N$46*'TUSD BE'!$N$58</f>
        <v>0</v>
      </c>
      <c r="O46" s="13">
        <f>'TUSD BE'!$O$46*'TUSD BE'!$O$58</f>
        <v>0</v>
      </c>
      <c r="P46" s="13">
        <f>'TUSD BE'!$P$46*'TUSD BE'!$P$58</f>
        <v>0</v>
      </c>
      <c r="Q46" s="13">
        <f>'TUSD BE'!$Q$46*'TUSD BE'!$Q$58</f>
        <v>2.8114517340068605</v>
      </c>
      <c r="R46" s="13">
        <f>'TUSD BE'!$R$46*'TUSD BE'!$R$58</f>
        <v>0.38807822486594351</v>
      </c>
      <c r="S46" s="13">
        <f>'TUSD BE'!$R$46*'TUSD BE'!$S$58</f>
        <v>0</v>
      </c>
      <c r="T46" s="13">
        <f ca="1">SUM($L$46:$S$46)</f>
        <v>3.2854901434501511</v>
      </c>
      <c r="U46" s="13">
        <f>'TUSD BE'!$U$46*'TUSD BE'!$U$58</f>
        <v>0</v>
      </c>
      <c r="V46" s="13">
        <f>'TUSD BE'!$V$46*'TUSD BE'!$V$58</f>
        <v>0</v>
      </c>
      <c r="W46" s="13">
        <f>'TUSD BE'!$W$46*'TUSD BE'!$W$58</f>
        <v>0</v>
      </c>
      <c r="X46" s="13">
        <f>'TUSD BE'!$X$46*'TUSD BE'!$X$58</f>
        <v>0</v>
      </c>
      <c r="Y46" s="13">
        <f>'TUSD BE'!$Y$46*'TUSD BE'!$Y$58</f>
        <v>-9.3580753254540081</v>
      </c>
      <c r="Z46" s="13">
        <f>'TUSD BE'!$Z$46*'TUSD BE'!$Z$58</f>
        <v>0</v>
      </c>
      <c r="AA46" s="13">
        <f>'TUSD BE'!$AA$46*'TUSD BE'!$AA$58</f>
        <v>0</v>
      </c>
      <c r="AB46" s="13">
        <f>SUM($U$46:$AA$46)</f>
        <v>-9.3580753254540081</v>
      </c>
      <c r="AC46" s="13">
        <f>'TUSD BE'!$AC$46*'TUSD BE'!$AC$58</f>
        <v>-354.61074882623103</v>
      </c>
      <c r="AD46" s="13">
        <f>SUM($AC$46:$AC$46)</f>
        <v>-354.61074882623103</v>
      </c>
      <c r="AE46" s="13">
        <f ca="1">$AO$46*$AO$55</f>
        <v>-23.278797502275921</v>
      </c>
      <c r="AF46" s="13">
        <f ca="1">$AP$46*$AP$55</f>
        <v>0</v>
      </c>
      <c r="AG46" s="13">
        <f ca="1">SUM($AE$46:$AF$46)</f>
        <v>-23.278797502275921</v>
      </c>
      <c r="AH46" s="13">
        <f>'TUSD BE'!$AH$46*'TUSD BE'!$AH$58</f>
        <v>-0.12911565954765369</v>
      </c>
      <c r="AI46" s="13">
        <f>'TUSD BE'!$AI$46*'TUSD BE'!$AI$58</f>
        <v>0</v>
      </c>
      <c r="AJ46" s="13">
        <f ca="1">'TUSD BE'!$AJ$46*'TUSD BE'!$AJ$58</f>
        <v>0</v>
      </c>
      <c r="AK46" s="13">
        <f ca="1">'TUSD BE'!$AK$46*'TUSD BE'!$AK$58</f>
        <v>0</v>
      </c>
      <c r="AL46" s="13">
        <f ca="1">SUM($AH$46:$AK$46)</f>
        <v>-0.12911565954765369</v>
      </c>
      <c r="AM46" s="13">
        <f ca="1">SUMIF($L$4:$AL$4,"SUBTOTAL",$L$46:$AL$46)</f>
        <v>-384.09124717005852</v>
      </c>
      <c r="AO46" s="26">
        <f ca="1">+'TUSD BE'!$T$46+'TUSD BE'!$AB$46+'TUSD BE'!$AD$46+'TUSD BE'!$AL$46</f>
        <v>1628.201199646066</v>
      </c>
      <c r="AP46" s="26">
        <f ca="1">+'TUSD BE'!$T$46+'TUSD BE'!$AB$46+'TUSD BE'!$AD$46+'TUSD BE'!$AL$46</f>
        <v>1628.201199646066</v>
      </c>
    </row>
    <row r="47" spans="1:42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>
        <f>'TUSD BE'!$L$47*'TUSD BE'!$L$58</f>
        <v>0</v>
      </c>
      <c r="M47" s="13">
        <f>'TUSD BE'!$M$47*'TUSD BE'!$M$58</f>
        <v>8.596018457734729E-2</v>
      </c>
      <c r="N47" s="13">
        <f ca="1">'TUSD BE'!$N$47*'TUSD BE'!$N$58</f>
        <v>0</v>
      </c>
      <c r="O47" s="13">
        <f>'TUSD BE'!$O$47*'TUSD BE'!$O$58</f>
        <v>0</v>
      </c>
      <c r="P47" s="13">
        <f>'TUSD BE'!$P$47*'TUSD BE'!$P$58</f>
        <v>0</v>
      </c>
      <c r="Q47" s="13">
        <f>'TUSD BE'!$Q$47*'TUSD BE'!$Q$58</f>
        <v>2.8114517340068605</v>
      </c>
      <c r="R47" s="13">
        <f>'TUSD BE'!$R$47*'TUSD BE'!$R$58</f>
        <v>0.38807822486594351</v>
      </c>
      <c r="S47" s="13">
        <f>'TUSD BE'!$R$47*'TUSD BE'!$S$58</f>
        <v>0</v>
      </c>
      <c r="T47" s="13">
        <f ca="1">SUM($L$47:$S$47)</f>
        <v>3.2854901434501511</v>
      </c>
      <c r="U47" s="13">
        <f>'TUSD BE'!$U$47*'TUSD BE'!$U$58</f>
        <v>0</v>
      </c>
      <c r="V47" s="13">
        <f>'TUSD BE'!$V$47*'TUSD BE'!$V$58</f>
        <v>0</v>
      </c>
      <c r="W47" s="13">
        <f>'TUSD BE'!$W$47*'TUSD BE'!$W$58</f>
        <v>0</v>
      </c>
      <c r="X47" s="13">
        <f>'TUSD BE'!$X$47*'TUSD BE'!$X$58</f>
        <v>0</v>
      </c>
      <c r="Y47" s="13">
        <f>'TUSD BE'!$Y$47*'TUSD BE'!$Y$58</f>
        <v>-3.1200367646292007</v>
      </c>
      <c r="Z47" s="13">
        <f>'TUSD BE'!$Z$47*'TUSD BE'!$Z$58</f>
        <v>0</v>
      </c>
      <c r="AA47" s="13">
        <f>'TUSD BE'!$AA$47*'TUSD BE'!$AA$58</f>
        <v>0</v>
      </c>
      <c r="AB47" s="13">
        <f>SUM($U$47:$AA$47)</f>
        <v>-3.1200367646292007</v>
      </c>
      <c r="AC47" s="13">
        <f>'TUSD BE'!$AC$47*'TUSD BE'!$AC$58</f>
        <v>-118.20356001677651</v>
      </c>
      <c r="AD47" s="13">
        <f>SUM($AC$47:$AC$47)</f>
        <v>-118.20356001677651</v>
      </c>
      <c r="AE47" s="13">
        <f ca="1">$AO$47*$AO$55</f>
        <v>-9.0203990073133831</v>
      </c>
      <c r="AF47" s="13">
        <f ca="1">$AP$47*$AP$55</f>
        <v>0</v>
      </c>
      <c r="AG47" s="13">
        <f ca="1">SUM($AE$47:$AF$47)</f>
        <v>-9.0203990073133831</v>
      </c>
      <c r="AH47" s="13">
        <f>'TUSD BE'!$AH$47*'TUSD BE'!$AH$58</f>
        <v>-0.12911565954765369</v>
      </c>
      <c r="AI47" s="13">
        <f>'TUSD BE'!$AI$47*'TUSD BE'!$AI$58</f>
        <v>0</v>
      </c>
      <c r="AJ47" s="13">
        <f ca="1">'TUSD BE'!$AJ$47*'TUSD BE'!$AJ$58</f>
        <v>0</v>
      </c>
      <c r="AK47" s="13">
        <f ca="1">'TUSD BE'!$AK$47*'TUSD BE'!$AK$58</f>
        <v>0</v>
      </c>
      <c r="AL47" s="13">
        <f ca="1">SUM($AH$47:$AK$47)</f>
        <v>-0.12911565954765369</v>
      </c>
      <c r="AM47" s="13">
        <f ca="1">SUMIF($L$4:$AL$4,"SUBTOTAL",$L$47:$AL$47)</f>
        <v>-127.18762130481659</v>
      </c>
      <c r="AO47" s="26">
        <f ca="1">+'TUSD BE'!$T$47+'TUSD BE'!$AB$47+'TUSD BE'!$AD$47+'TUSD BE'!$AL$47</f>
        <v>630.91852075082102</v>
      </c>
      <c r="AP47" s="26">
        <f ca="1">+'TUSD BE'!$T$47+'TUSD BE'!$AB$47+'TUSD BE'!$AD$47+'TUSD BE'!$AL$47</f>
        <v>630.91852075082102</v>
      </c>
    </row>
    <row r="48" spans="1:42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>
        <f>'TUSD BE'!$L$48*'TUSD BE'!$L$58</f>
        <v>0</v>
      </c>
      <c r="M48" s="13">
        <f>'TUSD BE'!$M$48*'TUSD BE'!$M$58</f>
        <v>8.596018457734729E-2</v>
      </c>
      <c r="N48" s="13">
        <f ca="1">'TUSD BE'!$N$48*'TUSD BE'!$N$58</f>
        <v>0</v>
      </c>
      <c r="O48" s="13">
        <f>'TUSD BE'!$O$48*'TUSD BE'!$O$58</f>
        <v>0</v>
      </c>
      <c r="P48" s="13">
        <f>'TUSD BE'!$P$48*'TUSD BE'!$P$58</f>
        <v>0</v>
      </c>
      <c r="Q48" s="13">
        <f>'TUSD BE'!$Q$48*'TUSD BE'!$Q$58</f>
        <v>2.8114517340068605</v>
      </c>
      <c r="R48" s="13">
        <f>'TUSD BE'!$R$48*'TUSD BE'!$R$58</f>
        <v>0.38807822486594351</v>
      </c>
      <c r="S48" s="13">
        <f>'TUSD BE'!$R$48*'TUSD BE'!$S$58</f>
        <v>0</v>
      </c>
      <c r="T48" s="13">
        <f ca="1">SUM($L$48:$S$48)</f>
        <v>3.2854901434501511</v>
      </c>
      <c r="U48" s="13">
        <f>'TUSD BE'!$U$48*'TUSD BE'!$U$58</f>
        <v>0</v>
      </c>
      <c r="V48" s="13">
        <f>'TUSD BE'!$V$48*'TUSD BE'!$V$58</f>
        <v>0</v>
      </c>
      <c r="W48" s="13">
        <f>'TUSD BE'!$W$48*'TUSD BE'!$W$58</f>
        <v>0</v>
      </c>
      <c r="X48" s="13">
        <f>'TUSD BE'!$X$48*'TUSD BE'!$X$58</f>
        <v>0</v>
      </c>
      <c r="Y48" s="13">
        <f>'TUSD BE'!$Y$48*'TUSD BE'!$Y$58</f>
        <v>-4.5225312185018476</v>
      </c>
      <c r="Z48" s="13">
        <f>'TUSD BE'!$Z$48*'TUSD BE'!$Z$58</f>
        <v>0</v>
      </c>
      <c r="AA48" s="13">
        <f>'TUSD BE'!$AA$48*'TUSD BE'!$AA$58</f>
        <v>0</v>
      </c>
      <c r="AB48" s="13">
        <f>SUM($U$48:$AA$48)</f>
        <v>-4.5225312185018476</v>
      </c>
      <c r="AC48" s="13">
        <f>'TUSD BE'!$AC$48*'TUSD BE'!$AC$58</f>
        <v>-171.30952571060621</v>
      </c>
      <c r="AD48" s="13">
        <f>SUM($AC$48:$AC$48)</f>
        <v>-171.30952571060621</v>
      </c>
      <c r="AE48" s="13">
        <f ca="1">$AO$48*$AO$55</f>
        <v>-12.223917326026106</v>
      </c>
      <c r="AF48" s="13">
        <f ca="1">$AP$48*$AP$55</f>
        <v>0</v>
      </c>
      <c r="AG48" s="13">
        <f ca="1">SUM($AE$48:$AF$48)</f>
        <v>-12.223917326026106</v>
      </c>
      <c r="AH48" s="13">
        <f>'TUSD BE'!$AH$48*'TUSD BE'!$AH$58</f>
        <v>-0.12911565954765369</v>
      </c>
      <c r="AI48" s="13">
        <f>'TUSD BE'!$AI$48*'TUSD BE'!$AI$58</f>
        <v>0</v>
      </c>
      <c r="AJ48" s="13">
        <f ca="1">'TUSD BE'!$AJ$48*'TUSD BE'!$AJ$58</f>
        <v>0</v>
      </c>
      <c r="AK48" s="13">
        <f ca="1">'TUSD BE'!$AK$48*'TUSD BE'!$AK$58</f>
        <v>0</v>
      </c>
      <c r="AL48" s="13">
        <f ca="1">SUM($AH$48:$AK$48)</f>
        <v>-0.12911565954765369</v>
      </c>
      <c r="AM48" s="13">
        <f ca="1">SUMIF($L$4:$AL$4,"SUBTOTAL",$L$48:$AL$48)</f>
        <v>-184.89959977123169</v>
      </c>
      <c r="AO48" s="26">
        <f ca="1">+'TUSD BE'!$T$48+'TUSD BE'!$AB$48+'TUSD BE'!$AD$48+'TUSD BE'!$AL$48</f>
        <v>854.9838904979589</v>
      </c>
      <c r="AP48" s="26">
        <f ca="1">+'TUSD BE'!$T$48+'TUSD BE'!$AB$48+'TUSD BE'!$AD$48+'TUSD BE'!$AL$48</f>
        <v>854.9838904979589</v>
      </c>
    </row>
    <row r="49" spans="1:42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>
        <f>'TUSD BE'!$L$49*'TUSD BE'!$L$58</f>
        <v>0</v>
      </c>
      <c r="M49" s="13">
        <f>'TUSD BE'!$M$49*'TUSD BE'!$M$58</f>
        <v>8.596018457734729E-2</v>
      </c>
      <c r="N49" s="13">
        <f ca="1">'TUSD BE'!$N$49*'TUSD BE'!$N$58</f>
        <v>0</v>
      </c>
      <c r="O49" s="13">
        <f>'TUSD BE'!$O$49*'TUSD BE'!$O$58</f>
        <v>0</v>
      </c>
      <c r="P49" s="13">
        <f>'TUSD BE'!$P$49*'TUSD BE'!$P$58</f>
        <v>0</v>
      </c>
      <c r="Q49" s="13">
        <f>'TUSD BE'!$Q$49*'TUSD BE'!$Q$58</f>
        <v>2.8114517340068605</v>
      </c>
      <c r="R49" s="13">
        <f>'TUSD BE'!$R$49*'TUSD BE'!$R$58</f>
        <v>0.38807822486594351</v>
      </c>
      <c r="S49" s="13">
        <f>'TUSD BE'!$R$49*'TUSD BE'!$S$58</f>
        <v>0</v>
      </c>
      <c r="T49" s="13">
        <f ca="1">SUM($L$49:$S$49)</f>
        <v>3.2854901434501511</v>
      </c>
      <c r="U49" s="13">
        <f>'TUSD BE'!$U$49*'TUSD BE'!$U$58</f>
        <v>0</v>
      </c>
      <c r="V49" s="13">
        <f>'TUSD BE'!$V$49*'TUSD BE'!$V$58</f>
        <v>0</v>
      </c>
      <c r="W49" s="13">
        <f>'TUSD BE'!$W$49*'TUSD BE'!$W$58</f>
        <v>0</v>
      </c>
      <c r="X49" s="13">
        <f>'TUSD BE'!$X$49*'TUSD BE'!$X$58</f>
        <v>0</v>
      </c>
      <c r="Y49" s="13">
        <f>'TUSD BE'!$Y$49*'TUSD BE'!$Y$58</f>
        <v>-4.5225312185018476</v>
      </c>
      <c r="Z49" s="13">
        <f>'TUSD BE'!$Z$49*'TUSD BE'!$Z$58</f>
        <v>0</v>
      </c>
      <c r="AA49" s="13">
        <f>'TUSD BE'!$AA$49*'TUSD BE'!$AA$58</f>
        <v>0</v>
      </c>
      <c r="AB49" s="13">
        <f>SUM($U$49:$AA$49)</f>
        <v>-4.5225312185018476</v>
      </c>
      <c r="AC49" s="13">
        <f>'TUSD BE'!$AC$49*'TUSD BE'!$AC$58</f>
        <v>-171.30952571060621</v>
      </c>
      <c r="AD49" s="13">
        <f>SUM($AC$49:$AC$49)</f>
        <v>-171.30952571060621</v>
      </c>
      <c r="AE49" s="13">
        <f ca="1">$AO$49*$AO$55</f>
        <v>-12.223917326026106</v>
      </c>
      <c r="AF49" s="13">
        <f ca="1">$AP$49*$AP$55</f>
        <v>0</v>
      </c>
      <c r="AG49" s="13">
        <f ca="1">SUM($AE$49:$AF$49)</f>
        <v>-12.223917326026106</v>
      </c>
      <c r="AH49" s="13">
        <f>'TUSD BE'!$AH$49*'TUSD BE'!$AH$58</f>
        <v>-0.12911565954765369</v>
      </c>
      <c r="AI49" s="13">
        <f>'TUSD BE'!$AI$49*'TUSD BE'!$AI$58</f>
        <v>0</v>
      </c>
      <c r="AJ49" s="13">
        <f ca="1">'TUSD BE'!$AJ$49*'TUSD BE'!$AJ$58</f>
        <v>0</v>
      </c>
      <c r="AK49" s="13">
        <f ca="1">'TUSD BE'!$AK$49*'TUSD BE'!$AK$58</f>
        <v>0</v>
      </c>
      <c r="AL49" s="13">
        <f ca="1">SUM($AH$49:$AK$49)</f>
        <v>-0.12911565954765369</v>
      </c>
      <c r="AM49" s="13">
        <f ca="1">SUMIF($L$4:$AL$4,"SUBTOTAL",$L$49:$AL$49)</f>
        <v>-184.89959977123169</v>
      </c>
      <c r="AO49" s="26">
        <f ca="1">+'TUSD BE'!$T$49+'TUSD BE'!$AB$49+'TUSD BE'!$AD$49+'TUSD BE'!$AL$49</f>
        <v>854.9838904979589</v>
      </c>
      <c r="AP49" s="26">
        <f ca="1">+'TUSD BE'!$T$49+'TUSD BE'!$AB$49+'TUSD BE'!$AD$49+'TUSD BE'!$AL$49</f>
        <v>854.9838904979589</v>
      </c>
    </row>
    <row r="50" spans="1:42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>
        <f>'TUSD BE'!$L$50*'TUSD BE'!$L$58</f>
        <v>0</v>
      </c>
      <c r="M50" s="13">
        <f>'TUSD BE'!$M$50*'TUSD BE'!$M$58</f>
        <v>4.7278101517541013E-2</v>
      </c>
      <c r="N50" s="13">
        <f ca="1">'TUSD BE'!$N$50*'TUSD BE'!$N$58</f>
        <v>0</v>
      </c>
      <c r="O50" s="13">
        <f>'TUSD BE'!$O$50*'TUSD BE'!$O$58</f>
        <v>0</v>
      </c>
      <c r="P50" s="13">
        <f>'TUSD BE'!$P$50*'TUSD BE'!$P$58</f>
        <v>0</v>
      </c>
      <c r="Q50" s="13">
        <f>'TUSD BE'!$Q$50*'TUSD BE'!$Q$58</f>
        <v>1.5462984537037734</v>
      </c>
      <c r="R50" s="13">
        <f>'TUSD BE'!$R$50*'TUSD BE'!$R$58</f>
        <v>0.21344302367626894</v>
      </c>
      <c r="S50" s="13">
        <f>'TUSD BE'!$R$50*'TUSD BE'!$S$58</f>
        <v>0</v>
      </c>
      <c r="T50" s="13">
        <f ca="1">SUM($L$50:$S$50)</f>
        <v>1.8070195788975834</v>
      </c>
      <c r="U50" s="13">
        <f>'TUSD BE'!$U$50*'TUSD BE'!$U$58</f>
        <v>0</v>
      </c>
      <c r="V50" s="13">
        <f>'TUSD BE'!$V$50*'TUSD BE'!$V$58</f>
        <v>0</v>
      </c>
      <c r="W50" s="13">
        <f>'TUSD BE'!$W$50*'TUSD BE'!$W$58</f>
        <v>0</v>
      </c>
      <c r="X50" s="13">
        <f>'TUSD BE'!$X$50*'TUSD BE'!$X$58</f>
        <v>0</v>
      </c>
      <c r="Y50" s="13">
        <f>'TUSD BE'!$Y$50*'TUSD BE'!$Y$58</f>
        <v>-2.4873921701760162</v>
      </c>
      <c r="Z50" s="13">
        <f>'TUSD BE'!$Z$50*'TUSD BE'!$Z$58</f>
        <v>0</v>
      </c>
      <c r="AA50" s="13">
        <f>'TUSD BE'!$AA$50*'TUSD BE'!$AA$58</f>
        <v>0</v>
      </c>
      <c r="AB50" s="13">
        <f>SUM($U$50:$AA$50)</f>
        <v>-2.4873921701760162</v>
      </c>
      <c r="AC50" s="13">
        <f>'TUSD BE'!$AC$50*'TUSD BE'!$AC$58</f>
        <v>-94.220239140833428</v>
      </c>
      <c r="AD50" s="13">
        <f>SUM($AC$50:$AC$50)</f>
        <v>-94.220239140833428</v>
      </c>
      <c r="AE50" s="13">
        <f ca="1">$AO$50*$AO$55</f>
        <v>-6.7231545293143595</v>
      </c>
      <c r="AF50" s="13">
        <f ca="1">$AP$50*$AP$55</f>
        <v>0</v>
      </c>
      <c r="AG50" s="13">
        <f ca="1">SUM($AE$50:$AF$50)</f>
        <v>-6.7231545293143595</v>
      </c>
      <c r="AH50" s="13">
        <f>'TUSD BE'!$AH$50*'TUSD BE'!$AH$58</f>
        <v>-7.1013612751209529E-2</v>
      </c>
      <c r="AI50" s="13">
        <f>'TUSD BE'!$AI$50*'TUSD BE'!$AI$58</f>
        <v>0</v>
      </c>
      <c r="AJ50" s="13">
        <f ca="1">'TUSD BE'!$AJ$50*'TUSD BE'!$AJ$58</f>
        <v>0</v>
      </c>
      <c r="AK50" s="13">
        <f ca="1">'TUSD BE'!$AK$50*'TUSD BE'!$AK$58</f>
        <v>0</v>
      </c>
      <c r="AL50" s="13">
        <f ca="1">SUM($AH$50:$AK$50)</f>
        <v>-7.1013612751209529E-2</v>
      </c>
      <c r="AM50" s="13">
        <f ca="1">SUMIF($L$4:$AL$4,"SUBTOTAL",$L$50:$AL$50)</f>
        <v>-101.69477987417743</v>
      </c>
      <c r="AO50" s="26">
        <f ca="1">+'TUSD BE'!$T$50+'TUSD BE'!$AB$50+'TUSD BE'!$AD$50+'TUSD BE'!$AL$50</f>
        <v>470.24113977387748</v>
      </c>
      <c r="AP50" s="26">
        <f ca="1">+'TUSD BE'!$T$50+'TUSD BE'!$AB$50+'TUSD BE'!$AD$50+'TUSD BE'!$AL$50</f>
        <v>470.24113977387748</v>
      </c>
    </row>
    <row r="51" spans="1:42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>
        <f>'TUSD BE'!$L$51*'TUSD BE'!$L$58</f>
        <v>0</v>
      </c>
      <c r="M51" s="13">
        <f>'TUSD BE'!$M$51*'TUSD BE'!$M$58</f>
        <v>5.1576110746408367E-2</v>
      </c>
      <c r="N51" s="13">
        <f ca="1">'TUSD BE'!$N$51*'TUSD BE'!$N$58</f>
        <v>0</v>
      </c>
      <c r="O51" s="13">
        <f>'TUSD BE'!$O$51*'TUSD BE'!$O$58</f>
        <v>0</v>
      </c>
      <c r="P51" s="13">
        <f>'TUSD BE'!$P$51*'TUSD BE'!$P$58</f>
        <v>0</v>
      </c>
      <c r="Q51" s="13">
        <f>'TUSD BE'!$Q$51*'TUSD BE'!$Q$58</f>
        <v>1.6868710404041163</v>
      </c>
      <c r="R51" s="13">
        <f>'TUSD BE'!$R$51*'TUSD BE'!$R$58</f>
        <v>0.2328469349195661</v>
      </c>
      <c r="S51" s="13">
        <f>'TUSD BE'!$R$51*'TUSD BE'!$S$58</f>
        <v>0</v>
      </c>
      <c r="T51" s="13">
        <f ca="1">SUM($L$51:$S$51)</f>
        <v>1.9712940860700907</v>
      </c>
      <c r="U51" s="13">
        <f>'TUSD BE'!$U$51*'TUSD BE'!$U$58</f>
        <v>0</v>
      </c>
      <c r="V51" s="13">
        <f>'TUSD BE'!$V$51*'TUSD BE'!$V$58</f>
        <v>0</v>
      </c>
      <c r="W51" s="13">
        <f>'TUSD BE'!$W$51*'TUSD BE'!$W$58</f>
        <v>0</v>
      </c>
      <c r="X51" s="13">
        <f>'TUSD BE'!$X$51*'TUSD BE'!$X$58</f>
        <v>0</v>
      </c>
      <c r="Y51" s="13">
        <f>'TUSD BE'!$Y$51*'TUSD BE'!$Y$58</f>
        <v>-2.7135187311011082</v>
      </c>
      <c r="Z51" s="13">
        <f>'TUSD BE'!$Z$51*'TUSD BE'!$Z$58</f>
        <v>0</v>
      </c>
      <c r="AA51" s="13">
        <f>'TUSD BE'!$AA$51*'TUSD BE'!$AA$58</f>
        <v>0</v>
      </c>
      <c r="AB51" s="13">
        <f>SUM($U$51:$AA$51)</f>
        <v>-2.7135187311011082</v>
      </c>
      <c r="AC51" s="13">
        <f>'TUSD BE'!$AC$51*'TUSD BE'!$AC$58</f>
        <v>-102.78571542636372</v>
      </c>
      <c r="AD51" s="13">
        <f>SUM($AC$51:$AC$51)</f>
        <v>-102.78571542636372</v>
      </c>
      <c r="AE51" s="13">
        <f ca="1">$AO$51*$AO$55</f>
        <v>-7.3343503956156635</v>
      </c>
      <c r="AF51" s="13">
        <f ca="1">$AP$51*$AP$55</f>
        <v>0</v>
      </c>
      <c r="AG51" s="13">
        <f ca="1">SUM($AE$51:$AF$51)</f>
        <v>-7.3343503956156635</v>
      </c>
      <c r="AH51" s="13">
        <f>'TUSD BE'!$AH$51*'TUSD BE'!$AH$58</f>
        <v>-7.7469395728592211E-2</v>
      </c>
      <c r="AI51" s="13">
        <f>'TUSD BE'!$AI$51*'TUSD BE'!$AI$58</f>
        <v>0</v>
      </c>
      <c r="AJ51" s="13">
        <f ca="1">'TUSD BE'!$AJ$51*'TUSD BE'!$AJ$58</f>
        <v>0</v>
      </c>
      <c r="AK51" s="13">
        <f ca="1">'TUSD BE'!$AK$51*'TUSD BE'!$AK$58</f>
        <v>0</v>
      </c>
      <c r="AL51" s="13">
        <f ca="1">SUM($AH$51:$AK$51)</f>
        <v>-7.7469395728592211E-2</v>
      </c>
      <c r="AM51" s="13">
        <f ca="1">SUMIF($L$4:$AL$4,"SUBTOTAL",$L$51:$AL$51)</f>
        <v>-110.939759862739</v>
      </c>
      <c r="AO51" s="26">
        <f ca="1">+'TUSD BE'!$T$51+'TUSD BE'!$AB$51+'TUSD BE'!$AD$51+'TUSD BE'!$AL$51</f>
        <v>512.99033429877534</v>
      </c>
      <c r="AP51" s="26">
        <f ca="1">+'TUSD BE'!$T$51+'TUSD BE'!$AB$51+'TUSD BE'!$AD$51+'TUSD BE'!$AL$51</f>
        <v>512.99033429877534</v>
      </c>
    </row>
    <row r="53" spans="1:42" ht="11.25" customHeight="1" x14ac:dyDescent="0.25">
      <c r="K53" s="16" t="s">
        <v>509</v>
      </c>
      <c r="L53" s="13">
        <f>SUMPRODUCT($I$5:$I51,$L$5:$L51)</f>
        <v>0</v>
      </c>
      <c r="M53" s="13">
        <f>SUMPRODUCT($I$5:$I51,$M$5:$M51)</f>
        <v>1320.0697366684938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43111.948945576783</v>
      </c>
      <c r="R53" s="13">
        <f>SUMPRODUCT($I$5:$I51,$R$5:$R51)</f>
        <v>6031.9928132301266</v>
      </c>
      <c r="S53" s="13">
        <f>SUMPRODUCT($I$5:$I51,$S$5:$S51)</f>
        <v>0</v>
      </c>
      <c r="T53" s="13">
        <f ca="1">SUMPRODUCT($I$5:$I51,$T$5:$T51)</f>
        <v>50464.011495475403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-72221.181788456161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-72221.181788456161</v>
      </c>
      <c r="AC53" s="13">
        <f>SUMPRODUCT($I$5:$I51,$AC$5:$AC51)</f>
        <v>-2630709.1586146294</v>
      </c>
      <c r="AD53" s="13">
        <f>SUMPRODUCT($I$5:$I51,$AD$5:$AD51)</f>
        <v>-2630709.1586146294</v>
      </c>
      <c r="AE53" s="13">
        <f ca="1">SUMPRODUCT($I$5:$I51,$AE$5:$AE51)</f>
        <v>-188889.07681808999</v>
      </c>
      <c r="AF53" s="13">
        <f ca="1">SUMPRODUCT($I$5:$I51,$AF$5:$AF51)</f>
        <v>0</v>
      </c>
      <c r="AG53" s="13">
        <f ca="1">SUMPRODUCT($I$5:$I51,$AG$5:$AG51)</f>
        <v>-188889.07681808999</v>
      </c>
      <c r="AH53" s="13">
        <f>SUMPRODUCT($I$5:$I51,$AH$5:$AH51)</f>
        <v>-1946.4421251605613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-1946.4421251605613</v>
      </c>
      <c r="AM53" s="13">
        <f ca="1">SUMPRODUCT($I$5:$I51,$AM$5:$AM51)</f>
        <v>-2843301.847850861</v>
      </c>
      <c r="AO53" s="24">
        <f ca="1">SUMPRODUCT($I$5:$I51,$AO$5:$AO51)</f>
        <v>13211568.228349576</v>
      </c>
      <c r="AP53" s="24">
        <f ca="1">SUMPRODUCT($I$5:$I51,$AP$5:$AP51)</f>
        <v>13211568.228349576</v>
      </c>
    </row>
    <row r="54" spans="1:42" ht="11.25" customHeight="1" x14ac:dyDescent="0.25">
      <c r="K54" s="16" t="s">
        <v>441</v>
      </c>
      <c r="L54" s="13">
        <f>'TR TUSD'!$L$56</f>
        <v>0</v>
      </c>
      <c r="M54" s="13">
        <f>'TR TUSD'!$M$56</f>
        <v>42024.992316025076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1389890.3980500002</v>
      </c>
      <c r="R54" s="13">
        <f>'TR TUSD'!$R$56</f>
        <v>222749.78508000006</v>
      </c>
      <c r="S54" s="13">
        <f>'TR TUSD'!$S$56</f>
        <v>0</v>
      </c>
      <c r="T54" s="13">
        <f>'TR TUSD'!$T$56</f>
        <v>1654665.1754460253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2300281.9677699995</v>
      </c>
      <c r="Z54" s="13">
        <f>'TR TUSD'!$Z$56</f>
        <v>0</v>
      </c>
      <c r="AA54" s="13">
        <f>'TR TUSD'!$AA$56</f>
        <v>0</v>
      </c>
      <c r="AB54" s="13">
        <f>'TR TUSD'!$AB$56</f>
        <v>2300281.9677699995</v>
      </c>
      <c r="AC54" s="13">
        <f>'TR TUSD'!$AC$56</f>
        <v>8886696.2552139182</v>
      </c>
      <c r="AD54" s="13">
        <f>'TR TUSD'!$AD$56</f>
        <v>8886696.2552139182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369924.82991963299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369924.82991963299</v>
      </c>
      <c r="AM54" s="13">
        <f>'TUSD BE'!$AM$54</f>
        <v>13211568.228349576</v>
      </c>
      <c r="AO54" s="24">
        <f>$AE$55</f>
        <v>-188889.07681808999</v>
      </c>
      <c r="AP54" s="24">
        <f>$AF$55</f>
        <v>0</v>
      </c>
    </row>
    <row r="55" spans="1:42" ht="11.25" customHeight="1" x14ac:dyDescent="0.25">
      <c r="K55" s="16" t="s">
        <v>442</v>
      </c>
      <c r="L55" s="13">
        <f>CUSTOS!$E$2</f>
        <v>0</v>
      </c>
      <c r="M55" s="13">
        <f>CUSTOS!$E$3</f>
        <v>1320.0697366684942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43111.948945576783</v>
      </c>
      <c r="R55" s="13">
        <f>CUSTOS!$E$8</f>
        <v>6031.9928132301266</v>
      </c>
      <c r="S55" s="13">
        <f>CUSTOS!$E$9</f>
        <v>0</v>
      </c>
      <c r="T55" s="13">
        <f>CUSTOS!$E$10</f>
        <v>50464.011495475403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-72221.181788456161</v>
      </c>
      <c r="Z55" s="13">
        <f>CUSTOS!$E$16</f>
        <v>0</v>
      </c>
      <c r="AA55" s="13">
        <f>CUSTOS!$E$17</f>
        <v>0</v>
      </c>
      <c r="AB55" s="13">
        <f>CUSTOS!$E$18</f>
        <v>-72221.181788456161</v>
      </c>
      <c r="AC55" s="13">
        <f>CUSTOS!$E$19</f>
        <v>-2630709.1586146285</v>
      </c>
      <c r="AD55" s="13">
        <f>CUSTOS!$E$20</f>
        <v>-2630709.1586146285</v>
      </c>
      <c r="AE55" s="13">
        <f>CUSTOS!$E$21</f>
        <v>-188889.07681808999</v>
      </c>
      <c r="AF55" s="13">
        <f>CUSTOS!$E$22</f>
        <v>0</v>
      </c>
      <c r="AG55" s="13">
        <f>CUSTOS!$E$23</f>
        <v>-188889.07681808999</v>
      </c>
      <c r="AH55" s="13">
        <f>CUSTOS!$E$24</f>
        <v>-1946.4421251605609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-1946.4421251605609</v>
      </c>
      <c r="AM55" s="13">
        <f>CUSTOS!$E$29</f>
        <v>-2843301.8478508601</v>
      </c>
      <c r="AO55" s="24">
        <f ca="1">IF(AO53&lt;&gt;0,AO54/AO53,0)</f>
        <v>-1.429724871062385E-2</v>
      </c>
      <c r="AP55" s="24">
        <f ca="1">IF(AP53&lt;&gt;0,AP54/AP53,0)</f>
        <v>0</v>
      </c>
    </row>
    <row r="56" spans="1:42" ht="11.25" customHeight="1" x14ac:dyDescent="0.25">
      <c r="K56" s="16" t="s">
        <v>443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506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/>
    </row>
    <row r="58" spans="1:42" ht="11.25" customHeight="1" x14ac:dyDescent="0.25">
      <c r="K58" s="16" t="s">
        <v>518</v>
      </c>
      <c r="L58" s="13">
        <f t="shared" ref="L58:R58" si="0">IF((L54-(0))&lt;&gt;0,(L56)/(L54-(0)),0)</f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3">
        <f t="shared" si="0"/>
        <v>0</v>
      </c>
      <c r="Q58" s="13">
        <f t="shared" si="0"/>
        <v>0</v>
      </c>
      <c r="R58" s="13">
        <f t="shared" si="0"/>
        <v>0</v>
      </c>
      <c r="S58" s="13">
        <f>IF((R53-(0)&lt;&gt;0),(S55)/(R53-(0)),0)</f>
        <v>0</v>
      </c>
      <c r="T58" s="13"/>
      <c r="U58" s="13">
        <f t="shared" ref="U58:AA58" si="1">IF((U54-(0))&lt;&gt;0,(U56)/(U54-(0)),0)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0</v>
      </c>
      <c r="Z58" s="13">
        <f t="shared" si="1"/>
        <v>0</v>
      </c>
      <c r="AA58" s="13">
        <f t="shared" si="1"/>
        <v>0</v>
      </c>
      <c r="AB58" s="13"/>
      <c r="AC58" s="13">
        <f>IF((AC54-(0))&lt;&gt;0,(AC56)/(AC54-(0)),0)</f>
        <v>0</v>
      </c>
      <c r="AD58" s="13"/>
      <c r="AE58" s="13">
        <f ca="1">IF(($AM53-(0))&lt;&gt;0,(AE55)/($AM53-(0)),0)</f>
        <v>6.6433001814725987E-2</v>
      </c>
      <c r="AF58" s="13">
        <f ca="1">IF(($AM53-(0))&lt;&gt;0,(AF55)/($AM53-(0)),0)</f>
        <v>0</v>
      </c>
      <c r="AG58" s="13"/>
      <c r="AH58" s="13">
        <f>IF((AH54-(0))&lt;&gt;0,(AH56)/(AH54-(0)),0)</f>
        <v>0</v>
      </c>
      <c r="AI58" s="13">
        <f>IF((AI54-(0))&lt;&gt;0,(AI56)/(AI54-(0)),0)</f>
        <v>0</v>
      </c>
      <c r="AJ58" s="13">
        <f>IF((AJ54-(0))&lt;&gt;0,(AJ56)/(AJ54-(0)),0)</f>
        <v>0</v>
      </c>
      <c r="AK58" s="13">
        <f>IF((AK54-(0))&lt;&gt;0,(AK56)/(AK54-(0)),0)</f>
        <v>0</v>
      </c>
      <c r="AL58" s="13"/>
      <c r="AM58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98" priority="55" operator="notEqual">
      <formula>$L$55</formula>
    </cfRule>
    <cfRule type="cellIs" dxfId="697" priority="56" operator="equal">
      <formula>$L$55</formula>
    </cfRule>
  </conditionalFormatting>
  <conditionalFormatting sqref="M53">
    <cfRule type="cellIs" dxfId="696" priority="53" operator="notEqual">
      <formula>$M$55</formula>
    </cfRule>
    <cfRule type="cellIs" dxfId="695" priority="54" operator="equal">
      <formula>$M$55</formula>
    </cfRule>
  </conditionalFormatting>
  <conditionalFormatting sqref="N53">
    <cfRule type="cellIs" dxfId="694" priority="51" operator="notEqual">
      <formula>$N$55</formula>
    </cfRule>
    <cfRule type="cellIs" dxfId="693" priority="52" operator="equal">
      <formula>$N$55</formula>
    </cfRule>
  </conditionalFormatting>
  <conditionalFormatting sqref="O53">
    <cfRule type="cellIs" dxfId="692" priority="49" operator="notEqual">
      <formula>$O$55</formula>
    </cfRule>
    <cfRule type="cellIs" dxfId="691" priority="50" operator="equal">
      <formula>$O$55</formula>
    </cfRule>
  </conditionalFormatting>
  <conditionalFormatting sqref="P53">
    <cfRule type="cellIs" dxfId="690" priority="47" operator="notEqual">
      <formula>$P$55</formula>
    </cfRule>
    <cfRule type="cellIs" dxfId="689" priority="48" operator="equal">
      <formula>$P$55</formula>
    </cfRule>
  </conditionalFormatting>
  <conditionalFormatting sqref="Q53">
    <cfRule type="cellIs" dxfId="688" priority="45" operator="notEqual">
      <formula>$Q$55</formula>
    </cfRule>
    <cfRule type="cellIs" dxfId="687" priority="46" operator="equal">
      <formula>$Q$55</formula>
    </cfRule>
  </conditionalFormatting>
  <conditionalFormatting sqref="R53">
    <cfRule type="cellIs" dxfId="686" priority="43" operator="notEqual">
      <formula>$R$55</formula>
    </cfRule>
    <cfRule type="cellIs" dxfId="685" priority="44" operator="equal">
      <formula>$R$55</formula>
    </cfRule>
  </conditionalFormatting>
  <conditionalFormatting sqref="S53">
    <cfRule type="cellIs" dxfId="684" priority="41" operator="notEqual">
      <formula>$S$55</formula>
    </cfRule>
    <cfRule type="cellIs" dxfId="683" priority="42" operator="equal">
      <formula>$S$55</formula>
    </cfRule>
  </conditionalFormatting>
  <conditionalFormatting sqref="T53">
    <cfRule type="cellIs" dxfId="682" priority="39" operator="notEqual">
      <formula>$T$55</formula>
    </cfRule>
    <cfRule type="cellIs" dxfId="681" priority="40" operator="equal">
      <formula>$T$55</formula>
    </cfRule>
  </conditionalFormatting>
  <conditionalFormatting sqref="U53">
    <cfRule type="cellIs" dxfId="680" priority="37" operator="notEqual">
      <formula>$U$55</formula>
    </cfRule>
    <cfRule type="cellIs" dxfId="679" priority="38" operator="equal">
      <formula>$U$55</formula>
    </cfRule>
  </conditionalFormatting>
  <conditionalFormatting sqref="V53">
    <cfRule type="cellIs" dxfId="678" priority="35" operator="notEqual">
      <formula>$V$55</formula>
    </cfRule>
    <cfRule type="cellIs" dxfId="677" priority="36" operator="equal">
      <formula>$V$55</formula>
    </cfRule>
  </conditionalFormatting>
  <conditionalFormatting sqref="W53">
    <cfRule type="cellIs" dxfId="676" priority="33" operator="notEqual">
      <formula>$W$55</formula>
    </cfRule>
    <cfRule type="cellIs" dxfId="675" priority="34" operator="equal">
      <formula>$W$55</formula>
    </cfRule>
  </conditionalFormatting>
  <conditionalFormatting sqref="X53">
    <cfRule type="cellIs" dxfId="674" priority="31" operator="notEqual">
      <formula>$X$55</formula>
    </cfRule>
    <cfRule type="cellIs" dxfId="673" priority="32" operator="equal">
      <formula>$X$55</formula>
    </cfRule>
  </conditionalFormatting>
  <conditionalFormatting sqref="Y53">
    <cfRule type="cellIs" dxfId="672" priority="29" operator="notEqual">
      <formula>$Y$55</formula>
    </cfRule>
    <cfRule type="cellIs" dxfId="671" priority="30" operator="equal">
      <formula>$Y$55</formula>
    </cfRule>
  </conditionalFormatting>
  <conditionalFormatting sqref="Z53">
    <cfRule type="cellIs" dxfId="670" priority="27" operator="notEqual">
      <formula>$Z$55</formula>
    </cfRule>
    <cfRule type="cellIs" dxfId="669" priority="28" operator="equal">
      <formula>$Z$55</formula>
    </cfRule>
  </conditionalFormatting>
  <conditionalFormatting sqref="AA53">
    <cfRule type="cellIs" dxfId="668" priority="25" operator="notEqual">
      <formula>$AA$55</formula>
    </cfRule>
    <cfRule type="cellIs" dxfId="667" priority="26" operator="equal">
      <formula>$AA$55</formula>
    </cfRule>
  </conditionalFormatting>
  <conditionalFormatting sqref="AB53">
    <cfRule type="cellIs" dxfId="666" priority="23" operator="notEqual">
      <formula>$AB$55</formula>
    </cfRule>
    <cfRule type="cellIs" dxfId="665" priority="24" operator="equal">
      <formula>$AB$55</formula>
    </cfRule>
  </conditionalFormatting>
  <conditionalFormatting sqref="AC53">
    <cfRule type="cellIs" dxfId="664" priority="21" operator="notEqual">
      <formula>$AC$55</formula>
    </cfRule>
    <cfRule type="cellIs" dxfId="663" priority="22" operator="equal">
      <formula>$AC$55</formula>
    </cfRule>
  </conditionalFormatting>
  <conditionalFormatting sqref="AD53">
    <cfRule type="cellIs" dxfId="662" priority="19" operator="notEqual">
      <formula>$AD$55</formula>
    </cfRule>
    <cfRule type="cellIs" dxfId="661" priority="20" operator="equal">
      <formula>$AD$55</formula>
    </cfRule>
  </conditionalFormatting>
  <conditionalFormatting sqref="AE53">
    <cfRule type="cellIs" dxfId="660" priority="17" operator="notEqual">
      <formula>$AE$55</formula>
    </cfRule>
    <cfRule type="cellIs" dxfId="659" priority="18" operator="equal">
      <formula>$AE$55</formula>
    </cfRule>
  </conditionalFormatting>
  <conditionalFormatting sqref="AF53">
    <cfRule type="cellIs" dxfId="658" priority="16" operator="equal">
      <formula>$AF$55</formula>
    </cfRule>
  </conditionalFormatting>
  <conditionalFormatting sqref="AF53">
    <cfRule type="cellIs" dxfId="657" priority="15" operator="notEqual">
      <formula>$AF$55</formula>
    </cfRule>
  </conditionalFormatting>
  <conditionalFormatting sqref="AG53">
    <cfRule type="cellIs" dxfId="656" priority="14" operator="equal">
      <formula>$AG$55</formula>
    </cfRule>
  </conditionalFormatting>
  <conditionalFormatting sqref="AG53">
    <cfRule type="cellIs" dxfId="655" priority="13" operator="notEqual">
      <formula>$AG$55</formula>
    </cfRule>
  </conditionalFormatting>
  <conditionalFormatting sqref="AH53">
    <cfRule type="cellIs" dxfId="654" priority="12" operator="equal">
      <formula>$AH$55</formula>
    </cfRule>
  </conditionalFormatting>
  <conditionalFormatting sqref="AH53">
    <cfRule type="cellIs" dxfId="653" priority="11" operator="notEqual">
      <formula>$AH$55</formula>
    </cfRule>
  </conditionalFormatting>
  <conditionalFormatting sqref="AI53">
    <cfRule type="cellIs" dxfId="652" priority="10" operator="equal">
      <formula>$AI$55</formula>
    </cfRule>
  </conditionalFormatting>
  <conditionalFormatting sqref="AI53">
    <cfRule type="cellIs" dxfId="651" priority="9" operator="notEqual">
      <formula>$AI$55</formula>
    </cfRule>
  </conditionalFormatting>
  <conditionalFormatting sqref="AJ53">
    <cfRule type="cellIs" dxfId="650" priority="8" operator="equal">
      <formula>$AJ$55</formula>
    </cfRule>
  </conditionalFormatting>
  <conditionalFormatting sqref="AJ53">
    <cfRule type="cellIs" dxfId="649" priority="7" operator="notEqual">
      <formula>$AJ$55</formula>
    </cfRule>
  </conditionalFormatting>
  <conditionalFormatting sqref="AK53">
    <cfRule type="cellIs" dxfId="648" priority="6" operator="equal">
      <formula>$AK$55</formula>
    </cfRule>
  </conditionalFormatting>
  <conditionalFormatting sqref="AK53">
    <cfRule type="cellIs" dxfId="647" priority="5" operator="notEqual">
      <formula>$AK$55</formula>
    </cfRule>
  </conditionalFormatting>
  <conditionalFormatting sqref="AL53">
    <cfRule type="cellIs" dxfId="646" priority="4" operator="equal">
      <formula>$AL$55</formula>
    </cfRule>
  </conditionalFormatting>
  <conditionalFormatting sqref="AL53">
    <cfRule type="cellIs" dxfId="645" priority="3" operator="notEqual">
      <formula>$AL$55</formula>
    </cfRule>
  </conditionalFormatting>
  <conditionalFormatting sqref="AM53">
    <cfRule type="cellIs" dxfId="644" priority="2" operator="equal">
      <formula>$AM$55</formula>
    </cfRule>
  </conditionalFormatting>
  <conditionalFormatting sqref="AM53">
    <cfRule type="cellIs" dxfId="643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F308-4E0A-4C04-AA5F-E80F5F39A0D5}">
  <dimension ref="A1:AP57"/>
  <sheetViews>
    <sheetView showGridLines="0" topLeftCell="AB30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6" width="4.8554687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8.42578125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9.28515625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.85546875" style="9" bestFit="1" customWidth="1"/>
    <col min="38" max="38" width="9.28515625" style="9" bestFit="1" customWidth="1"/>
    <col min="39" max="39" width="10.85546875" style="9" bestFit="1" customWidth="1"/>
    <col min="40" max="40" width="9.140625" style="9"/>
    <col min="41" max="42" width="10.85546875" style="9" bestFit="1" customWidth="1"/>
    <col min="43" max="16384" width="9.140625" style="9"/>
  </cols>
  <sheetData>
    <row r="1" spans="1:42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520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O1" s="26"/>
      <c r="AP1" s="107" t="s">
        <v>502</v>
      </c>
    </row>
    <row r="2" spans="1:42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O2" s="26"/>
      <c r="AP2" s="108"/>
    </row>
    <row r="3" spans="1:42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/>
      <c r="U3" s="104" t="s">
        <v>409</v>
      </c>
      <c r="V3" s="104"/>
      <c r="W3" s="104"/>
      <c r="X3" s="104"/>
      <c r="Y3" s="104"/>
      <c r="Z3" s="104"/>
      <c r="AA3" s="104"/>
      <c r="AB3" s="104"/>
      <c r="AC3" s="104" t="s">
        <v>417</v>
      </c>
      <c r="AD3" s="104"/>
      <c r="AE3" s="104" t="s">
        <v>419</v>
      </c>
      <c r="AF3" s="104"/>
      <c r="AG3" s="104"/>
      <c r="AH3" s="104" t="s">
        <v>422</v>
      </c>
      <c r="AI3" s="104"/>
      <c r="AJ3" s="104"/>
      <c r="AK3" s="104"/>
      <c r="AL3" s="104"/>
      <c r="AM3" s="104" t="s">
        <v>408</v>
      </c>
      <c r="AO3" s="26"/>
      <c r="AP3" s="108"/>
    </row>
    <row r="4" spans="1:42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408</v>
      </c>
      <c r="U4" s="10" t="s">
        <v>410</v>
      </c>
      <c r="V4" s="10" t="s">
        <v>411</v>
      </c>
      <c r="W4" s="10" t="s">
        <v>412</v>
      </c>
      <c r="X4" s="10" t="s">
        <v>413</v>
      </c>
      <c r="Y4" s="10" t="s">
        <v>414</v>
      </c>
      <c r="Z4" s="10" t="s">
        <v>415</v>
      </c>
      <c r="AA4" s="10" t="s">
        <v>416</v>
      </c>
      <c r="AB4" s="10" t="s">
        <v>408</v>
      </c>
      <c r="AC4" s="10" t="s">
        <v>418</v>
      </c>
      <c r="AD4" s="10" t="s">
        <v>408</v>
      </c>
      <c r="AE4" s="10" t="s">
        <v>420</v>
      </c>
      <c r="AF4" s="10" t="s">
        <v>421</v>
      </c>
      <c r="AG4" s="10" t="s">
        <v>408</v>
      </c>
      <c r="AH4" s="10" t="s">
        <v>423</v>
      </c>
      <c r="AI4" s="10" t="s">
        <v>424</v>
      </c>
      <c r="AJ4" s="10" t="s">
        <v>425</v>
      </c>
      <c r="AK4" s="10" t="s">
        <v>426</v>
      </c>
      <c r="AL4" s="10" t="s">
        <v>408</v>
      </c>
      <c r="AM4" s="106"/>
      <c r="AO4" s="27" t="s">
        <v>519</v>
      </c>
      <c r="AP4" s="109"/>
    </row>
    <row r="5" spans="1:42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>
        <f>'TUSD BE'!$L$5*'TUSD BF'!$L$58</f>
        <v>0</v>
      </c>
      <c r="M5" s="13">
        <f>'TUSD BE'!$M$5*'TUSD BF'!$M$58</f>
        <v>0</v>
      </c>
      <c r="N5" s="13">
        <f ca="1">'TUSD BE'!$N$5*'TUSD BF'!$N$58</f>
        <v>0</v>
      </c>
      <c r="O5" s="13">
        <f>'TUSD BE'!$O$5*'TUSD BF'!$O$58</f>
        <v>0</v>
      </c>
      <c r="P5" s="13">
        <f>'TUSD BE'!$P$5*'TUSD BF'!$P$58</f>
        <v>0</v>
      </c>
      <c r="Q5" s="13">
        <f>'TUSD BE'!$Q$5*'TUSD BF'!$Q$58</f>
        <v>0</v>
      </c>
      <c r="R5" s="13">
        <f>'TUSD BE'!$R$5*'TUSD BF'!$R$58</f>
        <v>0</v>
      </c>
      <c r="S5" s="13">
        <f>'TUSD BE'!$R$5*'TUSD BF'!$S$58</f>
        <v>0</v>
      </c>
      <c r="T5" s="13">
        <f ca="1">SUM($L$5:$S$5)</f>
        <v>0</v>
      </c>
      <c r="U5" s="13">
        <f>'TUSD BE'!$U$5*'TUSD BF'!$U$58</f>
        <v>0</v>
      </c>
      <c r="V5" s="13">
        <f>'TUSD BE'!$V$5*'TUSD BF'!$V$58</f>
        <v>0</v>
      </c>
      <c r="W5" s="13">
        <f>'TUSD BE'!$W$5*'TUSD BF'!$W$58</f>
        <v>0</v>
      </c>
      <c r="X5" s="13">
        <f>'TUSD BE'!$X$5*'TUSD BF'!$X$58</f>
        <v>0</v>
      </c>
      <c r="Y5" s="13">
        <f>'TUSD BE'!$Y$5*'TUSD BF'!$Y$58</f>
        <v>0</v>
      </c>
      <c r="Z5" s="13">
        <f>'TUSD BE'!$Z$5*'TUSD BF'!$Z$58</f>
        <v>0</v>
      </c>
      <c r="AA5" s="13">
        <f>'TUSD BE'!$AA$5*'TUSD BF'!$AA$58</f>
        <v>0</v>
      </c>
      <c r="AB5" s="13">
        <f>SUM($U$5:$AA$5)</f>
        <v>0</v>
      </c>
      <c r="AC5" s="13">
        <f>'TUSD BE'!$AC$5*'TUSD BF'!$AC$58</f>
        <v>0</v>
      </c>
      <c r="AD5" s="13">
        <f>SUM($AC$5:$AC$5)</f>
        <v>0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BF'!$AH$58</f>
        <v>0</v>
      </c>
      <c r="AI5" s="13">
        <f>'TUSD BE'!$AI$5*'TUSD BF'!$AI$58</f>
        <v>0</v>
      </c>
      <c r="AJ5" s="13">
        <f ca="1">'TUSD BE'!$AJ$5*'TUSD BF'!$AJ$58</f>
        <v>0</v>
      </c>
      <c r="AK5" s="13">
        <f ca="1">'TUSD BE'!$AK$5*'TUSD BF'!$AK$58</f>
        <v>0</v>
      </c>
      <c r="AL5" s="13">
        <f ca="1">SUM($AH$5:$AK$5)</f>
        <v>0</v>
      </c>
      <c r="AM5" s="13">
        <f ca="1">SUMIF($L$4:$AL$4,"SUBTOTAL",$L$5:$AL$5)</f>
        <v>0</v>
      </c>
      <c r="AO5" s="26">
        <f ca="1">+'TUSD BE'!$T$5+'TUSD BE'!$AB$5+'TUSD BE'!$AD$5+'TUSD BE'!$AL$5</f>
        <v>101.02509208636815</v>
      </c>
      <c r="AP5" s="26">
        <f ca="1">+'TUSD BE'!$T$5+'TUSD BE'!$AB$5+'TUSD BE'!$AD$5+'TUSD BE'!$AL$5</f>
        <v>101.02509208636815</v>
      </c>
    </row>
    <row r="6" spans="1:42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>
        <f>'TUSD BE'!$L$6*'TUSD BF'!$L$58</f>
        <v>0</v>
      </c>
      <c r="M6" s="13">
        <f>'TUSD BE'!$M$6*'TUSD BF'!$M$58</f>
        <v>0</v>
      </c>
      <c r="N6" s="13">
        <f ca="1">'TUSD BE'!$N$6*'TUSD BF'!$N$58</f>
        <v>0</v>
      </c>
      <c r="O6" s="13">
        <f>'TUSD BE'!$O$6*'TUSD BF'!$O$58</f>
        <v>0</v>
      </c>
      <c r="P6" s="13">
        <f>'TUSD BE'!$P$6*'TUSD BF'!$P$58</f>
        <v>0</v>
      </c>
      <c r="Q6" s="13">
        <f>'TUSD BE'!$Q$6*'TUSD BF'!$Q$58</f>
        <v>0</v>
      </c>
      <c r="R6" s="13">
        <f>'TUSD BE'!$R$6*'TUSD BF'!$R$58</f>
        <v>0</v>
      </c>
      <c r="S6" s="13">
        <f>'TUSD BE'!$R$6*'TUSD BF'!$S$58</f>
        <v>0</v>
      </c>
      <c r="T6" s="13">
        <f ca="1">SUM($L$6:$S$6)</f>
        <v>0</v>
      </c>
      <c r="U6" s="13">
        <f>'TUSD BE'!$U$6*'TUSD BF'!$U$58</f>
        <v>0</v>
      </c>
      <c r="V6" s="13">
        <f>'TUSD BE'!$V$6*'TUSD BF'!$V$58</f>
        <v>0</v>
      </c>
      <c r="W6" s="13">
        <f>'TUSD BE'!$W$6*'TUSD BF'!$W$58</f>
        <v>0</v>
      </c>
      <c r="X6" s="13">
        <f>'TUSD BE'!$X$6*'TUSD BF'!$X$58</f>
        <v>0</v>
      </c>
      <c r="Y6" s="13">
        <f>'TUSD BE'!$Y$6*'TUSD BF'!$Y$58</f>
        <v>0</v>
      </c>
      <c r="Z6" s="13">
        <f>'TUSD BE'!$Z$6*'TUSD BF'!$Z$58</f>
        <v>0</v>
      </c>
      <c r="AA6" s="13">
        <f>'TUSD BE'!$AA$6*'TUSD BF'!$AA$58</f>
        <v>0</v>
      </c>
      <c r="AB6" s="13">
        <f>SUM($U$6:$AA$6)</f>
        <v>0</v>
      </c>
      <c r="AC6" s="13">
        <f>'TUSD BE'!$AC$6*'TUSD BF'!$AC$58</f>
        <v>0</v>
      </c>
      <c r="AD6" s="13">
        <f>SUM($AC$6:$AC$6)</f>
        <v>0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BF'!$AH$58</f>
        <v>0</v>
      </c>
      <c r="AI6" s="13">
        <f>'TUSD BE'!$AI$6*'TUSD BF'!$AI$58</f>
        <v>0</v>
      </c>
      <c r="AJ6" s="13">
        <f ca="1">'TUSD BE'!$AJ$6*'TUSD BF'!$AJ$58</f>
        <v>0</v>
      </c>
      <c r="AK6" s="13">
        <f ca="1">'TUSD BE'!$AK$6*'TUSD BF'!$AK$58</f>
        <v>0</v>
      </c>
      <c r="AL6" s="13">
        <f ca="1">SUM($AH$6:$AK$6)</f>
        <v>0</v>
      </c>
      <c r="AM6" s="13">
        <f ca="1">SUMIF($L$4:$AL$4,"SUBTOTAL",$L$6:$AL$6)</f>
        <v>0</v>
      </c>
      <c r="AO6" s="26">
        <f ca="1">+'TUSD BE'!$T$6+'TUSD BE'!$AB$6+'TUSD BE'!$AD$6+'TUSD BE'!$AL$6</f>
        <v>48.000122747302072</v>
      </c>
      <c r="AP6" s="26">
        <f ca="1">+'TUSD BE'!$T$6+'TUSD BE'!$AB$6+'TUSD BE'!$AD$6+'TUSD BE'!$AL$6</f>
        <v>48.000122747302072</v>
      </c>
    </row>
    <row r="7" spans="1:42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>
        <f>'TUSD BE'!$L$7*'TUSD BF'!$L$58</f>
        <v>0</v>
      </c>
      <c r="M7" s="13">
        <f>'TUSD BE'!$M$7*'TUSD BF'!$M$58</f>
        <v>0</v>
      </c>
      <c r="N7" s="13">
        <f ca="1">'TUSD BE'!$N$7*'TUSD BF'!$N$58</f>
        <v>0</v>
      </c>
      <c r="O7" s="13">
        <f>'TUSD BE'!$O$7*'TUSD BF'!$O$58</f>
        <v>0</v>
      </c>
      <c r="P7" s="13">
        <f>'TUSD BE'!$P$7*'TUSD BF'!$P$58</f>
        <v>0</v>
      </c>
      <c r="Q7" s="13">
        <f>'TUSD BE'!$Q$7*'TUSD BF'!$Q$58</f>
        <v>0</v>
      </c>
      <c r="R7" s="13">
        <f>'TUSD BE'!$R$7*'TUSD BF'!$R$58</f>
        <v>0</v>
      </c>
      <c r="S7" s="13">
        <f>'TUSD BE'!$R$7*'TUSD BF'!$S$58</f>
        <v>0</v>
      </c>
      <c r="T7" s="13">
        <f ca="1">SUM($L$7:$S$7)</f>
        <v>0</v>
      </c>
      <c r="U7" s="13">
        <f>'TUSD BE'!$U$7*'TUSD BF'!$U$58</f>
        <v>0</v>
      </c>
      <c r="V7" s="13">
        <f>'TUSD BE'!$V$7*'TUSD BF'!$V$58</f>
        <v>0</v>
      </c>
      <c r="W7" s="13">
        <f>'TUSD BE'!$W$7*'TUSD BF'!$W$58</f>
        <v>0</v>
      </c>
      <c r="X7" s="13">
        <f>'TUSD BE'!$X$7*'TUSD BF'!$X$58</f>
        <v>0</v>
      </c>
      <c r="Y7" s="13">
        <f>'TUSD BE'!$Y$7*'TUSD BF'!$Y$58</f>
        <v>0</v>
      </c>
      <c r="Z7" s="13">
        <f>'TUSD BE'!$Z$7*'TUSD BF'!$Z$58</f>
        <v>0</v>
      </c>
      <c r="AA7" s="13">
        <f>'TUSD BE'!$AA$7*'TUSD BF'!$AA$58</f>
        <v>0</v>
      </c>
      <c r="AB7" s="13">
        <f>SUM($U$7:$AA$7)</f>
        <v>0</v>
      </c>
      <c r="AC7" s="13">
        <f>'TUSD BE'!$AC$7*'TUSD BF'!$AC$58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BF'!$AH$58</f>
        <v>0</v>
      </c>
      <c r="AI7" s="13">
        <f>'TUSD BE'!$AI$7*'TUSD BF'!$AI$58</f>
        <v>0</v>
      </c>
      <c r="AJ7" s="13">
        <f ca="1">'TUSD BE'!$AJ$7*'TUSD BF'!$AJ$58</f>
        <v>0</v>
      </c>
      <c r="AK7" s="13">
        <f ca="1">'TUSD BE'!$AK$7*'TUSD BF'!$AK$58</f>
        <v>0</v>
      </c>
      <c r="AL7" s="13">
        <f ca="1">SUM($AH$7:$AK$7)</f>
        <v>0</v>
      </c>
      <c r="AM7" s="13">
        <f ca="1">SUMIF($L$4:$AL$4,"SUBTOTAL",$L$7:$AL$7)</f>
        <v>0</v>
      </c>
      <c r="AO7" s="26">
        <f ca="1">+'TUSD BE'!$T$7+'TUSD BE'!$AB$7+'TUSD BE'!$AD$7+'TUSD BE'!$AL$7</f>
        <v>95.746926074842492</v>
      </c>
      <c r="AP7" s="26">
        <f ca="1">+'TUSD BE'!$T$7+'TUSD BE'!$AB$7+'TUSD BE'!$AD$7+'TUSD BE'!$AL$7</f>
        <v>95.746926074842492</v>
      </c>
    </row>
    <row r="8" spans="1:42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>
        <f>'TUSD BE'!$L$8*'TUSD BF'!$L$58</f>
        <v>0</v>
      </c>
      <c r="M8" s="13">
        <f>'TUSD BE'!$M$8*'TUSD BF'!$M$58</f>
        <v>0</v>
      </c>
      <c r="N8" s="13">
        <f ca="1">'TUSD BE'!$N$8*'TUSD BF'!$N$58</f>
        <v>0</v>
      </c>
      <c r="O8" s="13">
        <f>'TUSD BE'!$O$8*'TUSD BF'!$O$58</f>
        <v>0</v>
      </c>
      <c r="P8" s="13">
        <f>'TUSD BE'!$P$8*'TUSD BF'!$P$58</f>
        <v>0</v>
      </c>
      <c r="Q8" s="13">
        <f>'TUSD BE'!$Q$8*'TUSD BF'!$Q$58</f>
        <v>0</v>
      </c>
      <c r="R8" s="13">
        <f>'TUSD BE'!$R$8*'TUSD BF'!$R$58</f>
        <v>0</v>
      </c>
      <c r="S8" s="13">
        <f>'TUSD BE'!$R$8*'TUSD BF'!$S$58</f>
        <v>0</v>
      </c>
      <c r="T8" s="13">
        <f ca="1">SUM($L$8:$S$8)</f>
        <v>0</v>
      </c>
      <c r="U8" s="13">
        <f>'TUSD BE'!$U$8*'TUSD BF'!$U$58</f>
        <v>0</v>
      </c>
      <c r="V8" s="13">
        <f>'TUSD BE'!$V$8*'TUSD BF'!$V$58</f>
        <v>0</v>
      </c>
      <c r="W8" s="13">
        <f>'TUSD BE'!$W$8*'TUSD BF'!$W$58</f>
        <v>0</v>
      </c>
      <c r="X8" s="13">
        <f>'TUSD BE'!$X$8*'TUSD BF'!$X$58</f>
        <v>0</v>
      </c>
      <c r="Y8" s="13">
        <f>'TUSD BE'!$Y$8*'TUSD BF'!$Y$58</f>
        <v>0</v>
      </c>
      <c r="Z8" s="13">
        <f>'TUSD BE'!$Z$8*'TUSD BF'!$Z$58</f>
        <v>0</v>
      </c>
      <c r="AA8" s="13">
        <f>'TUSD BE'!$AA$8*'TUSD BF'!$AA$58</f>
        <v>0</v>
      </c>
      <c r="AB8" s="13">
        <f>SUM($U$8:$AA$8)</f>
        <v>0</v>
      </c>
      <c r="AC8" s="13">
        <f>'TUSD BE'!$AC$8*'TUSD BF'!$AC$58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BF'!$AH$58</f>
        <v>0</v>
      </c>
      <c r="AI8" s="13">
        <f>'TUSD BE'!$AI$8*'TUSD BF'!$AI$58</f>
        <v>0</v>
      </c>
      <c r="AJ8" s="13">
        <f ca="1">'TUSD BE'!$AJ$8*'TUSD BF'!$AJ$58</f>
        <v>0</v>
      </c>
      <c r="AK8" s="13">
        <f ca="1">'TUSD BE'!$AK$8*'TUSD BF'!$AK$58</f>
        <v>0</v>
      </c>
      <c r="AL8" s="13">
        <f ca="1">SUM($AH$8:$AK$8)</f>
        <v>0</v>
      </c>
      <c r="AM8" s="13">
        <f ca="1">SUMIF($L$4:$AL$4,"SUBTOTAL",$L$8:$AL$8)</f>
        <v>0</v>
      </c>
      <c r="AO8" s="26">
        <f ca="1">+'TUSD BE'!$T$8+'TUSD BE'!$AB$8+'TUSD BE'!$AD$8+'TUSD BE'!$AL$8</f>
        <v>5.2794666875013014</v>
      </c>
      <c r="AP8" s="26">
        <f ca="1">+'TUSD BE'!$T$8+'TUSD BE'!$AB$8+'TUSD BE'!$AD$8+'TUSD BE'!$AL$8</f>
        <v>5.2794666875013014</v>
      </c>
    </row>
    <row r="9" spans="1:42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>
        <f>'TUSD BE'!$L$9*'TUSD BF'!$L$58</f>
        <v>0</v>
      </c>
      <c r="M9" s="13">
        <f>'TUSD BE'!$M$9*'TUSD BF'!$M$58</f>
        <v>0</v>
      </c>
      <c r="N9" s="13">
        <f ca="1">'TUSD BE'!$N$9*'TUSD BF'!$N$58</f>
        <v>0</v>
      </c>
      <c r="O9" s="13">
        <f>'TUSD BE'!$O$9*'TUSD BF'!$O$58</f>
        <v>0</v>
      </c>
      <c r="P9" s="13">
        <f>'TUSD BE'!$P$9*'TUSD BF'!$P$58</f>
        <v>0</v>
      </c>
      <c r="Q9" s="13">
        <f>'TUSD BE'!$Q$9*'TUSD BF'!$Q$58</f>
        <v>0</v>
      </c>
      <c r="R9" s="13">
        <f>'TUSD BE'!$R$9*'TUSD BF'!$R$58</f>
        <v>0</v>
      </c>
      <c r="S9" s="13">
        <f>'TUSD BE'!$R$9*'TUSD BF'!$S$58</f>
        <v>0</v>
      </c>
      <c r="T9" s="13">
        <f ca="1">SUM($L$9:$S$9)</f>
        <v>0</v>
      </c>
      <c r="U9" s="13">
        <f>'TUSD BE'!$U$9*'TUSD BF'!$U$58</f>
        <v>0</v>
      </c>
      <c r="V9" s="13">
        <f>'TUSD BE'!$V$9*'TUSD BF'!$V$58</f>
        <v>0</v>
      </c>
      <c r="W9" s="13">
        <f>'TUSD BE'!$W$9*'TUSD BF'!$W$58</f>
        <v>0</v>
      </c>
      <c r="X9" s="13">
        <f>'TUSD BE'!$X$9*'TUSD BF'!$X$58</f>
        <v>0</v>
      </c>
      <c r="Y9" s="13">
        <f>'TUSD BE'!$Y$9*'TUSD BF'!$Y$58</f>
        <v>0</v>
      </c>
      <c r="Z9" s="13">
        <f>'TUSD BE'!$Z$9*'TUSD BF'!$Z$58</f>
        <v>0</v>
      </c>
      <c r="AA9" s="13">
        <f>'TUSD BE'!$AA$9*'TUSD BF'!$AA$58</f>
        <v>0</v>
      </c>
      <c r="AB9" s="13">
        <f>SUM($U$9:$AA$9)</f>
        <v>0</v>
      </c>
      <c r="AC9" s="13">
        <f>'TUSD BE'!$AC$9*'TUSD BF'!$AC$58</f>
        <v>0</v>
      </c>
      <c r="AD9" s="13">
        <f>SUM($AC$9:$AC$9)</f>
        <v>0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BF'!$AH$58</f>
        <v>0</v>
      </c>
      <c r="AI9" s="13">
        <f>'TUSD BE'!$AI$9*'TUSD BF'!$AI$58</f>
        <v>0</v>
      </c>
      <c r="AJ9" s="13">
        <f ca="1">'TUSD BE'!$AJ$9*'TUSD BF'!$AJ$58</f>
        <v>0</v>
      </c>
      <c r="AK9" s="13">
        <f ca="1">'TUSD BE'!$AK$9*'TUSD BF'!$AK$58</f>
        <v>0</v>
      </c>
      <c r="AL9" s="13">
        <f ca="1">SUM($AH$9:$AK$9)</f>
        <v>0</v>
      </c>
      <c r="AM9" s="13">
        <f ca="1">SUMIF($L$4:$AL$4,"SUBTOTAL",$L$9:$AL$9)</f>
        <v>0</v>
      </c>
      <c r="AO9" s="26">
        <f ca="1">+'TUSD BE'!$T$9+'TUSD BE'!$AB$9+'TUSD BE'!$AD$9+'TUSD BE'!$AL$9</f>
        <v>15.892218582985885</v>
      </c>
      <c r="AP9" s="26">
        <f ca="1">+'TUSD BE'!$T$9+'TUSD BE'!$AB$9+'TUSD BE'!$AD$9+'TUSD BE'!$AL$9</f>
        <v>15.892218582985885</v>
      </c>
    </row>
    <row r="10" spans="1:42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>
        <f>'TUSD BE'!$L$10*'TUSD BF'!$L$58</f>
        <v>0</v>
      </c>
      <c r="M10" s="13">
        <f>'TUSD BE'!$M$10*'TUSD BF'!$M$58</f>
        <v>0</v>
      </c>
      <c r="N10" s="13">
        <f ca="1">'TUSD BE'!$N$10*'TUSD BF'!$N$58</f>
        <v>0</v>
      </c>
      <c r="O10" s="13">
        <f>'TUSD BE'!$O$10*'TUSD BF'!$O$58</f>
        <v>0</v>
      </c>
      <c r="P10" s="13">
        <f>'TUSD BE'!$P$10*'TUSD BF'!$P$58</f>
        <v>0</v>
      </c>
      <c r="Q10" s="13">
        <f>'TUSD BE'!$Q$10*'TUSD BF'!$Q$58</f>
        <v>0</v>
      </c>
      <c r="R10" s="13">
        <f>'TUSD BE'!$R$10*'TUSD BF'!$R$58</f>
        <v>0</v>
      </c>
      <c r="S10" s="13">
        <f>'TUSD BE'!$R$10*'TUSD BF'!$S$58</f>
        <v>0</v>
      </c>
      <c r="T10" s="13">
        <f ca="1">SUM($L$10:$S$10)</f>
        <v>0</v>
      </c>
      <c r="U10" s="13">
        <f>'TUSD BE'!$U$10*'TUSD BF'!$U$58</f>
        <v>0</v>
      </c>
      <c r="V10" s="13">
        <f>'TUSD BE'!$V$10*'TUSD BF'!$V$58</f>
        <v>0</v>
      </c>
      <c r="W10" s="13">
        <f>'TUSD BE'!$W$10*'TUSD BF'!$W$58</f>
        <v>0</v>
      </c>
      <c r="X10" s="13">
        <f>'TUSD BE'!$X$10*'TUSD BF'!$X$58</f>
        <v>0</v>
      </c>
      <c r="Y10" s="13">
        <f>'TUSD BE'!$Y$10*'TUSD BF'!$Y$58</f>
        <v>0</v>
      </c>
      <c r="Z10" s="13">
        <f>'TUSD BE'!$Z$10*'TUSD BF'!$Z$58</f>
        <v>0</v>
      </c>
      <c r="AA10" s="13">
        <f>'TUSD BE'!$AA$10*'TUSD BF'!$AA$58</f>
        <v>0</v>
      </c>
      <c r="AB10" s="13">
        <f>SUM($U$10:$AA$10)</f>
        <v>0</v>
      </c>
      <c r="AC10" s="13">
        <f>'TUSD BE'!$AC$10*'TUSD BF'!$AC$58</f>
        <v>0</v>
      </c>
      <c r="AD10" s="13">
        <f>SUM($AC$10:$AC$10)</f>
        <v>0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BF'!$AH$58</f>
        <v>0</v>
      </c>
      <c r="AI10" s="13">
        <f>'TUSD BE'!$AI$10*'TUSD BF'!$AI$58</f>
        <v>0</v>
      </c>
      <c r="AJ10" s="13">
        <f ca="1">'TUSD BE'!$AJ$10*'TUSD BF'!$AJ$58</f>
        <v>0</v>
      </c>
      <c r="AK10" s="13">
        <f ca="1">'TUSD BE'!$AK$10*'TUSD BF'!$AK$58</f>
        <v>0</v>
      </c>
      <c r="AL10" s="13">
        <f ca="1">SUM($AH$10:$AK$10)</f>
        <v>0</v>
      </c>
      <c r="AM10" s="13">
        <f ca="1">SUMIF($L$4:$AL$4,"SUBTOTAL",$L$10:$AL$10)</f>
        <v>0</v>
      </c>
      <c r="AO10" s="26">
        <f ca="1">+'TUSD BE'!$T$10+'TUSD BE'!$AB$10+'TUSD BE'!$AD$10+'TUSD BE'!$AL$10</f>
        <v>48.000122747302072</v>
      </c>
      <c r="AP10" s="26">
        <f ca="1">+'TUSD BE'!$T$10+'TUSD BE'!$AB$10+'TUSD BE'!$AD$10+'TUSD BE'!$AL$10</f>
        <v>48.000122747302072</v>
      </c>
    </row>
    <row r="11" spans="1:42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>
        <f>'TUSD BE'!$L$11*'TUSD BF'!$L$58</f>
        <v>0</v>
      </c>
      <c r="M11" s="13">
        <f>'TUSD BE'!$M$11*'TUSD BF'!$M$58</f>
        <v>0</v>
      </c>
      <c r="N11" s="13">
        <f ca="1">'TUSD BE'!$N$11*'TUSD BF'!$N$58</f>
        <v>0</v>
      </c>
      <c r="O11" s="13">
        <f>'TUSD BE'!$O$11*'TUSD BF'!$O$58</f>
        <v>0</v>
      </c>
      <c r="P11" s="13">
        <f>'TUSD BE'!$P$11*'TUSD BF'!$P$58</f>
        <v>0</v>
      </c>
      <c r="Q11" s="13">
        <f>'TUSD BE'!$Q$11*'TUSD BF'!$Q$58</f>
        <v>0</v>
      </c>
      <c r="R11" s="13">
        <f>'TUSD BE'!$R$11*'TUSD BF'!$R$58</f>
        <v>0</v>
      </c>
      <c r="S11" s="13">
        <f>'TUSD BE'!$R$11*'TUSD BF'!$S$58</f>
        <v>0</v>
      </c>
      <c r="T11" s="13">
        <f ca="1">SUM($L$11:$S$11)</f>
        <v>0</v>
      </c>
      <c r="U11" s="13">
        <f>'TUSD BE'!$U$11*'TUSD BF'!$U$58</f>
        <v>0</v>
      </c>
      <c r="V11" s="13">
        <f>'TUSD BE'!$V$11*'TUSD BF'!$V$58</f>
        <v>0</v>
      </c>
      <c r="W11" s="13">
        <f>'TUSD BE'!$W$11*'TUSD BF'!$W$58</f>
        <v>0</v>
      </c>
      <c r="X11" s="13">
        <f>'TUSD BE'!$X$11*'TUSD BF'!$X$58</f>
        <v>0</v>
      </c>
      <c r="Y11" s="13">
        <f>'TUSD BE'!$Y$11*'TUSD BF'!$Y$58</f>
        <v>0</v>
      </c>
      <c r="Z11" s="13">
        <f>'TUSD BE'!$Z$11*'TUSD BF'!$Z$58</f>
        <v>0</v>
      </c>
      <c r="AA11" s="13">
        <f>'TUSD BE'!$AA$11*'TUSD BF'!$AA$58</f>
        <v>0</v>
      </c>
      <c r="AB11" s="13">
        <f>SUM($U$11:$AA$11)</f>
        <v>0</v>
      </c>
      <c r="AC11" s="13">
        <f>'TUSD BE'!$AC$11*'TUSD BF'!$AC$58</f>
        <v>0</v>
      </c>
      <c r="AD11" s="13">
        <f>SUM($AC$11:$AC$11)</f>
        <v>0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BF'!$AH$58</f>
        <v>0</v>
      </c>
      <c r="AI11" s="13">
        <f>'TUSD BE'!$AI$11*'TUSD BF'!$AI$58</f>
        <v>0</v>
      </c>
      <c r="AJ11" s="13">
        <f ca="1">'TUSD BE'!$AJ$11*'TUSD BF'!$AJ$58</f>
        <v>0</v>
      </c>
      <c r="AK11" s="13">
        <f ca="1">'TUSD BE'!$AK$11*'TUSD BF'!$AK$58</f>
        <v>0</v>
      </c>
      <c r="AL11" s="13">
        <f ca="1">SUM($AH$11:$AK$11)</f>
        <v>0</v>
      </c>
      <c r="AM11" s="13">
        <f ca="1">SUMIF($L$4:$AL$4,"SUBTOTAL",$L$11:$AL$11)</f>
        <v>0</v>
      </c>
      <c r="AO11" s="26">
        <f ca="1">+'TUSD BE'!$T$11+'TUSD BE'!$AB$11+'TUSD BE'!$AD$11+'TUSD BE'!$AL$11</f>
        <v>2525.4810124570704</v>
      </c>
      <c r="AP11" s="26">
        <f ca="1">+'TUSD BE'!$T$11+'TUSD BE'!$AB$11+'TUSD BE'!$AD$11+'TUSD BE'!$AL$11</f>
        <v>2525.4810124570704</v>
      </c>
    </row>
    <row r="12" spans="1:42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>
        <f>'TUSD BE'!$L$12*'TUSD BF'!$L$58</f>
        <v>0</v>
      </c>
      <c r="M12" s="13">
        <f>'TUSD BE'!$M$12*'TUSD BF'!$M$58</f>
        <v>0</v>
      </c>
      <c r="N12" s="13">
        <f ca="1">'TUSD BE'!$N$12*'TUSD BF'!$N$58</f>
        <v>0</v>
      </c>
      <c r="O12" s="13">
        <f>'TUSD BE'!$O$12*'TUSD BF'!$O$58</f>
        <v>0</v>
      </c>
      <c r="P12" s="13">
        <f>'TUSD BE'!$P$12*'TUSD BF'!$P$58</f>
        <v>0</v>
      </c>
      <c r="Q12" s="13">
        <f>'TUSD BE'!$Q$12*'TUSD BF'!$Q$58</f>
        <v>0</v>
      </c>
      <c r="R12" s="13">
        <f>'TUSD BE'!$R$12*'TUSD BF'!$R$58</f>
        <v>0</v>
      </c>
      <c r="S12" s="13">
        <f>'TUSD BE'!$R$12*'TUSD BF'!$S$58</f>
        <v>0</v>
      </c>
      <c r="T12" s="13">
        <f ca="1">SUM($L$12:$S$12)</f>
        <v>0</v>
      </c>
      <c r="U12" s="13">
        <f>'TUSD BE'!$U$12*'TUSD BF'!$U$58</f>
        <v>0</v>
      </c>
      <c r="V12" s="13">
        <f>'TUSD BE'!$V$12*'TUSD BF'!$V$58</f>
        <v>0</v>
      </c>
      <c r="W12" s="13">
        <f>'TUSD BE'!$W$12*'TUSD BF'!$W$58</f>
        <v>0</v>
      </c>
      <c r="X12" s="13">
        <f>'TUSD BE'!$X$12*'TUSD BF'!$X$58</f>
        <v>0</v>
      </c>
      <c r="Y12" s="13">
        <f>'TUSD BE'!$Y$12*'TUSD BF'!$Y$58</f>
        <v>0</v>
      </c>
      <c r="Z12" s="13">
        <f>'TUSD BE'!$Z$12*'TUSD BF'!$Z$58</f>
        <v>0</v>
      </c>
      <c r="AA12" s="13">
        <f>'TUSD BE'!$AA$12*'TUSD BF'!$AA$58</f>
        <v>0</v>
      </c>
      <c r="AB12" s="13">
        <f>SUM($U$12:$AA$12)</f>
        <v>0</v>
      </c>
      <c r="AC12" s="13">
        <f>'TUSD BE'!$AC$12*'TUSD BF'!$AC$58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BF'!$AH$58</f>
        <v>0</v>
      </c>
      <c r="AI12" s="13">
        <f>'TUSD BE'!$AI$12*'TUSD BF'!$AI$58</f>
        <v>0</v>
      </c>
      <c r="AJ12" s="13">
        <f ca="1">'TUSD BE'!$AJ$12*'TUSD BF'!$AJ$58</f>
        <v>0</v>
      </c>
      <c r="AK12" s="13">
        <f ca="1">'TUSD BE'!$AK$12*'TUSD BF'!$AK$58</f>
        <v>0</v>
      </c>
      <c r="AL12" s="13">
        <f ca="1">SUM($AH$12:$AK$12)</f>
        <v>0</v>
      </c>
      <c r="AM12" s="13">
        <f ca="1">SUMIF($L$4:$AL$4,"SUBTOTAL",$L$12:$AL$12)</f>
        <v>0</v>
      </c>
      <c r="AO12" s="26">
        <f ca="1">+'TUSD BE'!$T$12+'TUSD BE'!$AB$12+'TUSD BE'!$AD$12+'TUSD BE'!$AL$12</f>
        <v>95.746926074842492</v>
      </c>
      <c r="AP12" s="26">
        <f ca="1">+'TUSD BE'!$T$12+'TUSD BE'!$AB$12+'TUSD BE'!$AD$12+'TUSD BE'!$AL$12</f>
        <v>95.746926074842492</v>
      </c>
    </row>
    <row r="13" spans="1:42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>
        <f>'TUSD BE'!$L$13*'TUSD BF'!$L$58</f>
        <v>0</v>
      </c>
      <c r="M13" s="13">
        <f>'TUSD BE'!$M$13*'TUSD BF'!$M$58</f>
        <v>0</v>
      </c>
      <c r="N13" s="13">
        <f ca="1">'TUSD BE'!$N$13*'TUSD BF'!$N$58</f>
        <v>0</v>
      </c>
      <c r="O13" s="13">
        <f>'TUSD BE'!$O$13*'TUSD BF'!$O$58</f>
        <v>0</v>
      </c>
      <c r="P13" s="13">
        <f>'TUSD BE'!$P$13*'TUSD BF'!$P$58</f>
        <v>0</v>
      </c>
      <c r="Q13" s="13">
        <f>'TUSD BE'!$Q$13*'TUSD BF'!$Q$58</f>
        <v>0</v>
      </c>
      <c r="R13" s="13">
        <f>'TUSD BE'!$R$13*'TUSD BF'!$R$58</f>
        <v>0</v>
      </c>
      <c r="S13" s="13">
        <f>'TUSD BE'!$R$13*'TUSD BF'!$S$58</f>
        <v>0</v>
      </c>
      <c r="T13" s="13">
        <f ca="1">SUM($L$13:$S$13)</f>
        <v>0</v>
      </c>
      <c r="U13" s="13">
        <f>'TUSD BE'!$U$13*'TUSD BF'!$U$58</f>
        <v>0</v>
      </c>
      <c r="V13" s="13">
        <f>'TUSD BE'!$V$13*'TUSD BF'!$V$58</f>
        <v>0</v>
      </c>
      <c r="W13" s="13">
        <f>'TUSD BE'!$W$13*'TUSD BF'!$W$58</f>
        <v>0</v>
      </c>
      <c r="X13" s="13">
        <f>'TUSD BE'!$X$13*'TUSD BF'!$X$58</f>
        <v>0</v>
      </c>
      <c r="Y13" s="13">
        <f>'TUSD BE'!$Y$13*'TUSD BF'!$Y$58</f>
        <v>0</v>
      </c>
      <c r="Z13" s="13">
        <f>'TUSD BE'!$Z$13*'TUSD BF'!$Z$58</f>
        <v>0</v>
      </c>
      <c r="AA13" s="13">
        <f>'TUSD BE'!$AA$13*'TUSD BF'!$AA$58</f>
        <v>0</v>
      </c>
      <c r="AB13" s="13">
        <f>SUM($U$13:$AA$13)</f>
        <v>0</v>
      </c>
      <c r="AC13" s="13">
        <f>'TUSD BE'!$AC$13*'TUSD BF'!$AC$58</f>
        <v>0</v>
      </c>
      <c r="AD13" s="13">
        <f>SUM($AC$13:$AC$13)</f>
        <v>0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BF'!$AH$58</f>
        <v>0</v>
      </c>
      <c r="AI13" s="13">
        <f>'TUSD BE'!$AI$13*'TUSD BF'!$AI$58</f>
        <v>0</v>
      </c>
      <c r="AJ13" s="13">
        <f ca="1">'TUSD BE'!$AJ$13*'TUSD BF'!$AJ$58</f>
        <v>0</v>
      </c>
      <c r="AK13" s="13">
        <f ca="1">'TUSD BE'!$AK$13*'TUSD BF'!$AK$58</f>
        <v>0</v>
      </c>
      <c r="AL13" s="13">
        <f ca="1">SUM($AH$13:$AK$13)</f>
        <v>0</v>
      </c>
      <c r="AM13" s="13">
        <f ca="1">SUMIF($L$4:$AL$4,"SUBTOTAL",$L$13:$AL$13)</f>
        <v>0</v>
      </c>
      <c r="AO13" s="26">
        <f ca="1">+'TUSD BE'!$T$13+'TUSD BE'!$AB$13+'TUSD BE'!$AD$13+'TUSD BE'!$AL$13</f>
        <v>2435.0135530697294</v>
      </c>
      <c r="AP13" s="26">
        <f ca="1">+'TUSD BE'!$T$13+'TUSD BE'!$AB$13+'TUSD BE'!$AD$13+'TUSD BE'!$AL$13</f>
        <v>2435.0135530697294</v>
      </c>
    </row>
    <row r="14" spans="1:42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>
        <f>'TUSD BE'!$L$14*'TUSD BF'!$L$58</f>
        <v>0</v>
      </c>
      <c r="M14" s="13">
        <f>'TUSD BE'!$M$14*'TUSD BF'!$M$58</f>
        <v>0</v>
      </c>
      <c r="N14" s="13">
        <f ca="1">'TUSD BE'!$N$14*'TUSD BF'!$N$58</f>
        <v>0</v>
      </c>
      <c r="O14" s="13">
        <f>'TUSD BE'!$O$14*'TUSD BF'!$O$58</f>
        <v>0</v>
      </c>
      <c r="P14" s="13">
        <f>'TUSD BE'!$P$14*'TUSD BF'!$P$58</f>
        <v>0</v>
      </c>
      <c r="Q14" s="13">
        <f>'TUSD BE'!$Q$14*'TUSD BF'!$Q$58</f>
        <v>0</v>
      </c>
      <c r="R14" s="13">
        <f>'TUSD BE'!$R$14*'TUSD BF'!$R$58</f>
        <v>0</v>
      </c>
      <c r="S14" s="13">
        <f>'TUSD BE'!$R$14*'TUSD BF'!$S$58</f>
        <v>0</v>
      </c>
      <c r="T14" s="13">
        <f ca="1">SUM($L$14:$S$14)</f>
        <v>0</v>
      </c>
      <c r="U14" s="13">
        <f>'TUSD BE'!$U$14*'TUSD BF'!$U$58</f>
        <v>0</v>
      </c>
      <c r="V14" s="13">
        <f>'TUSD BE'!$V$14*'TUSD BF'!$V$58</f>
        <v>0</v>
      </c>
      <c r="W14" s="13">
        <f>'TUSD BE'!$W$14*'TUSD BF'!$W$58</f>
        <v>0</v>
      </c>
      <c r="X14" s="13">
        <f>'TUSD BE'!$X$14*'TUSD BF'!$X$58</f>
        <v>0</v>
      </c>
      <c r="Y14" s="13">
        <f>'TUSD BE'!$Y$14*'TUSD BF'!$Y$58</f>
        <v>0</v>
      </c>
      <c r="Z14" s="13">
        <f>'TUSD BE'!$Z$14*'TUSD BF'!$Z$58</f>
        <v>0</v>
      </c>
      <c r="AA14" s="13">
        <f>'TUSD BE'!$AA$14*'TUSD BF'!$AA$58</f>
        <v>0</v>
      </c>
      <c r="AB14" s="13">
        <f>SUM($U$14:$AA$14)</f>
        <v>0</v>
      </c>
      <c r="AC14" s="13">
        <f>'TUSD BE'!$AC$14*'TUSD BF'!$AC$58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BF'!$AH$58</f>
        <v>0</v>
      </c>
      <c r="AI14" s="13">
        <f>'TUSD BE'!$AI$14*'TUSD BF'!$AI$58</f>
        <v>0</v>
      </c>
      <c r="AJ14" s="13">
        <f ca="1">'TUSD BE'!$AJ$14*'TUSD BF'!$AJ$58</f>
        <v>0</v>
      </c>
      <c r="AK14" s="13">
        <f ca="1">'TUSD BE'!$AK$14*'TUSD BF'!$AK$58</f>
        <v>0</v>
      </c>
      <c r="AL14" s="13">
        <f ca="1">SUM($AH$14:$AK$14)</f>
        <v>0</v>
      </c>
      <c r="AM14" s="13">
        <f ca="1">SUMIF($L$4:$AL$4,"SUBTOTAL",$L$14:$AL$14)</f>
        <v>0</v>
      </c>
      <c r="AO14" s="26">
        <f ca="1">+'TUSD BE'!$T$14+'TUSD BE'!$AB$14+'TUSD BE'!$AD$14+'TUSD BE'!$AL$14</f>
        <v>5.2794666875013014</v>
      </c>
      <c r="AP14" s="26">
        <f ca="1">+'TUSD BE'!$T$14+'TUSD BE'!$AB$14+'TUSD BE'!$AD$14+'TUSD BE'!$AL$14</f>
        <v>5.2794666875013014</v>
      </c>
    </row>
    <row r="15" spans="1:42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>
        <f>'TUSD BE'!$L$15*'TUSD BF'!$L$58</f>
        <v>0</v>
      </c>
      <c r="M15" s="13">
        <f>'TUSD BE'!$M$15*'TUSD BF'!$M$58</f>
        <v>0</v>
      </c>
      <c r="N15" s="13">
        <f ca="1">'TUSD BE'!$N$15*'TUSD BF'!$N$58</f>
        <v>0</v>
      </c>
      <c r="O15" s="13">
        <f>'TUSD BE'!$O$15*'TUSD BF'!$O$58</f>
        <v>0</v>
      </c>
      <c r="P15" s="13">
        <f>'TUSD BE'!$P$15*'TUSD BF'!$P$58</f>
        <v>0</v>
      </c>
      <c r="Q15" s="13">
        <f>'TUSD BE'!$Q$15*'TUSD BF'!$Q$58</f>
        <v>0</v>
      </c>
      <c r="R15" s="13">
        <f>'TUSD BE'!$R$15*'TUSD BF'!$R$58</f>
        <v>0</v>
      </c>
      <c r="S15" s="13">
        <f>'TUSD BE'!$R$15*'TUSD BF'!$S$58</f>
        <v>0</v>
      </c>
      <c r="T15" s="13">
        <f ca="1">SUM($L$15:$S$15)</f>
        <v>0</v>
      </c>
      <c r="U15" s="13">
        <f>'TUSD BE'!$U$15*'TUSD BF'!$U$58</f>
        <v>0</v>
      </c>
      <c r="V15" s="13">
        <f>'TUSD BE'!$V$15*'TUSD BF'!$V$58</f>
        <v>0</v>
      </c>
      <c r="W15" s="13">
        <f>'TUSD BE'!$W$15*'TUSD BF'!$W$58</f>
        <v>0</v>
      </c>
      <c r="X15" s="13">
        <f>'TUSD BE'!$X$15*'TUSD BF'!$X$58</f>
        <v>0</v>
      </c>
      <c r="Y15" s="13">
        <f>'TUSD BE'!$Y$15*'TUSD BF'!$Y$58</f>
        <v>0</v>
      </c>
      <c r="Z15" s="13">
        <f>'TUSD BE'!$Z$15*'TUSD BF'!$Z$58</f>
        <v>0</v>
      </c>
      <c r="AA15" s="13">
        <f>'TUSD BE'!$AA$15*'TUSD BF'!$AA$58</f>
        <v>0</v>
      </c>
      <c r="AB15" s="13">
        <f>SUM($U$15:$AA$15)</f>
        <v>0</v>
      </c>
      <c r="AC15" s="13">
        <f>'TUSD BE'!$AC$15*'TUSD BF'!$AC$58</f>
        <v>0</v>
      </c>
      <c r="AD15" s="13">
        <f>SUM($AC$15:$AC$15)</f>
        <v>0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BF'!$AH$58</f>
        <v>0</v>
      </c>
      <c r="AI15" s="13">
        <f>'TUSD BE'!$AI$15*'TUSD BF'!$AI$58</f>
        <v>0</v>
      </c>
      <c r="AJ15" s="13">
        <f ca="1">'TUSD BE'!$AJ$15*'TUSD BF'!$AJ$58</f>
        <v>0</v>
      </c>
      <c r="AK15" s="13">
        <f ca="1">'TUSD BE'!$AK$15*'TUSD BF'!$AK$58</f>
        <v>0</v>
      </c>
      <c r="AL15" s="13">
        <f ca="1">SUM($AH$15:$AK$15)</f>
        <v>0</v>
      </c>
      <c r="AM15" s="13">
        <f ca="1">SUMIF($L$4:$AL$4,"SUBTOTAL",$L$15:$AL$15)</f>
        <v>0</v>
      </c>
      <c r="AO15" s="26">
        <f ca="1">+'TUSD BE'!$T$15+'TUSD BE'!$AB$15+'TUSD BE'!$AD$15+'TUSD BE'!$AL$15</f>
        <v>6.2787145484385922</v>
      </c>
      <c r="AP15" s="26">
        <f ca="1">+'TUSD BE'!$T$15+'TUSD BE'!$AB$15+'TUSD BE'!$AD$15+'TUSD BE'!$AL$15</f>
        <v>6.2787145484385922</v>
      </c>
    </row>
    <row r="16" spans="1:42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>
        <f>'TUSD BE'!$L$16*'TUSD BF'!$L$58</f>
        <v>0</v>
      </c>
      <c r="M16" s="13">
        <f>'TUSD BE'!$M$16*'TUSD BF'!$M$58</f>
        <v>0</v>
      </c>
      <c r="N16" s="13">
        <f ca="1">'TUSD BE'!$N$16*'TUSD BF'!$N$58</f>
        <v>0</v>
      </c>
      <c r="O16" s="13">
        <f>'TUSD BE'!$O$16*'TUSD BF'!$O$58</f>
        <v>0</v>
      </c>
      <c r="P16" s="13">
        <f>'TUSD BE'!$P$16*'TUSD BF'!$P$58</f>
        <v>0</v>
      </c>
      <c r="Q16" s="13">
        <f>'TUSD BE'!$Q$16*'TUSD BF'!$Q$58</f>
        <v>0</v>
      </c>
      <c r="R16" s="13">
        <f>'TUSD BE'!$R$16*'TUSD BF'!$R$58</f>
        <v>0</v>
      </c>
      <c r="S16" s="13">
        <f>'TUSD BE'!$R$16*'TUSD BF'!$S$58</f>
        <v>0</v>
      </c>
      <c r="T16" s="13">
        <f ca="1">SUM($L$16:$S$16)</f>
        <v>0</v>
      </c>
      <c r="U16" s="13">
        <f>'TUSD BE'!$U$16*'TUSD BF'!$U$58</f>
        <v>0</v>
      </c>
      <c r="V16" s="13">
        <f>'TUSD BE'!$V$16*'TUSD BF'!$V$58</f>
        <v>0</v>
      </c>
      <c r="W16" s="13">
        <f>'TUSD BE'!$W$16*'TUSD BF'!$W$58</f>
        <v>0</v>
      </c>
      <c r="X16" s="13">
        <f>'TUSD BE'!$X$16*'TUSD BF'!$X$58</f>
        <v>0</v>
      </c>
      <c r="Y16" s="13">
        <f>'TUSD BE'!$Y$16*'TUSD BF'!$Y$58</f>
        <v>0</v>
      </c>
      <c r="Z16" s="13">
        <f>'TUSD BE'!$Z$16*'TUSD BF'!$Z$58</f>
        <v>0</v>
      </c>
      <c r="AA16" s="13">
        <f>'TUSD BE'!$AA$16*'TUSD BF'!$AA$58</f>
        <v>0</v>
      </c>
      <c r="AB16" s="13">
        <f>SUM($U$16:$AA$16)</f>
        <v>0</v>
      </c>
      <c r="AC16" s="13">
        <f>'TUSD BE'!$AC$16*'TUSD BF'!$AC$58</f>
        <v>0</v>
      </c>
      <c r="AD16" s="13">
        <f>SUM($AC$16:$AC$16)</f>
        <v>0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BF'!$AH$58</f>
        <v>0</v>
      </c>
      <c r="AI16" s="13">
        <f>'TUSD BE'!$AI$16*'TUSD BF'!$AI$58</f>
        <v>0</v>
      </c>
      <c r="AJ16" s="13">
        <f ca="1">'TUSD BE'!$AJ$16*'TUSD BF'!$AJ$58</f>
        <v>0</v>
      </c>
      <c r="AK16" s="13">
        <f ca="1">'TUSD BE'!$AK$16*'TUSD BF'!$AK$58</f>
        <v>0</v>
      </c>
      <c r="AL16" s="13">
        <f ca="1">SUM($AH$16:$AK$16)</f>
        <v>0</v>
      </c>
      <c r="AM16" s="13">
        <f ca="1">SUMIF($L$4:$AL$4,"SUBTOTAL",$L$16:$AL$16)</f>
        <v>0</v>
      </c>
      <c r="AO16" s="26">
        <f ca="1">+'TUSD BE'!$T$16+'TUSD BE'!$AB$16+'TUSD BE'!$AD$16+'TUSD BE'!$AL$16</f>
        <v>28.127068388624124</v>
      </c>
      <c r="AP16" s="26">
        <f ca="1">+'TUSD BE'!$T$16+'TUSD BE'!$AB$16+'TUSD BE'!$AD$16+'TUSD BE'!$AL$16</f>
        <v>28.127068388624124</v>
      </c>
    </row>
    <row r="17" spans="1:42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>
        <f>'TUSD BE'!$L$17*'TUSD BF'!$L$58</f>
        <v>0</v>
      </c>
      <c r="M17" s="13">
        <f>'TUSD BE'!$M$17*'TUSD BF'!$M$58</f>
        <v>0</v>
      </c>
      <c r="N17" s="13">
        <f ca="1">'TUSD BE'!$N$17*'TUSD BF'!$N$58</f>
        <v>0</v>
      </c>
      <c r="O17" s="13">
        <f>'TUSD BE'!$O$17*'TUSD BF'!$O$58</f>
        <v>0</v>
      </c>
      <c r="P17" s="13">
        <f>'TUSD BE'!$P$17*'TUSD BF'!$P$58</f>
        <v>0</v>
      </c>
      <c r="Q17" s="13">
        <f>'TUSD BE'!$Q$17*'TUSD BF'!$Q$58</f>
        <v>0</v>
      </c>
      <c r="R17" s="13">
        <f>'TUSD BE'!$R$17*'TUSD BF'!$R$58</f>
        <v>0</v>
      </c>
      <c r="S17" s="13">
        <f>'TUSD BE'!$R$17*'TUSD BF'!$S$58</f>
        <v>0</v>
      </c>
      <c r="T17" s="13">
        <f ca="1">SUM($L$17:$S$17)</f>
        <v>0</v>
      </c>
      <c r="U17" s="13">
        <f>'TUSD BE'!$U$17*'TUSD BF'!$U$58</f>
        <v>0</v>
      </c>
      <c r="V17" s="13">
        <f>'TUSD BE'!$V$17*'TUSD BF'!$V$58</f>
        <v>0</v>
      </c>
      <c r="W17" s="13">
        <f>'TUSD BE'!$W$17*'TUSD BF'!$W$58</f>
        <v>0</v>
      </c>
      <c r="X17" s="13">
        <f>'TUSD BE'!$X$17*'TUSD BF'!$X$58</f>
        <v>0</v>
      </c>
      <c r="Y17" s="13">
        <f>'TUSD BE'!$Y$17*'TUSD BF'!$Y$58</f>
        <v>0</v>
      </c>
      <c r="Z17" s="13">
        <f>'TUSD BE'!$Z$17*'TUSD BF'!$Z$58</f>
        <v>0</v>
      </c>
      <c r="AA17" s="13">
        <f>'TUSD BE'!$AA$17*'TUSD BF'!$AA$58</f>
        <v>0</v>
      </c>
      <c r="AB17" s="13">
        <f>SUM($U$17:$AA$17)</f>
        <v>0</v>
      </c>
      <c r="AC17" s="13">
        <f>'TUSD BE'!$AC$17*'TUSD BF'!$AC$58</f>
        <v>0</v>
      </c>
      <c r="AD17" s="13">
        <f>SUM($AC$17:$AC$17)</f>
        <v>0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BF'!$AH$58</f>
        <v>0</v>
      </c>
      <c r="AI17" s="13">
        <f>'TUSD BE'!$AI$17*'TUSD BF'!$AI$58</f>
        <v>0</v>
      </c>
      <c r="AJ17" s="13">
        <f ca="1">'TUSD BE'!$AJ$17*'TUSD BF'!$AJ$58</f>
        <v>0</v>
      </c>
      <c r="AK17" s="13">
        <f ca="1">'TUSD BE'!$AK$17*'TUSD BF'!$AK$58</f>
        <v>0</v>
      </c>
      <c r="AL17" s="13">
        <f ca="1">SUM($AH$17:$AK$17)</f>
        <v>0</v>
      </c>
      <c r="AM17" s="13">
        <f ca="1">SUMIF($L$4:$AL$4,"SUBTOTAL",$L$17:$AL$17)</f>
        <v>0</v>
      </c>
      <c r="AO17" s="26">
        <f ca="1">+'TUSD BE'!$T$17+'TUSD BE'!$AB$17+'TUSD BE'!$AD$17+'TUSD BE'!$AL$17</f>
        <v>2228.0908386897413</v>
      </c>
      <c r="AP17" s="26">
        <f ca="1">+'TUSD BE'!$T$17+'TUSD BE'!$AB$17+'TUSD BE'!$AD$17+'TUSD BE'!$AL$17</f>
        <v>2228.0908386897413</v>
      </c>
    </row>
    <row r="18" spans="1:42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>
        <f>'TUSD BE'!$L$18*'TUSD BF'!$L$58</f>
        <v>0</v>
      </c>
      <c r="M18" s="13">
        <f>'TUSD BE'!$M$18*'TUSD BF'!$M$58</f>
        <v>0</v>
      </c>
      <c r="N18" s="13">
        <f ca="1">'TUSD BE'!$N$18*'TUSD BF'!$N$58</f>
        <v>0</v>
      </c>
      <c r="O18" s="13">
        <f>'TUSD BE'!$O$18*'TUSD BF'!$O$58</f>
        <v>0</v>
      </c>
      <c r="P18" s="13">
        <f>'TUSD BE'!$P$18*'TUSD BF'!$P$58</f>
        <v>0</v>
      </c>
      <c r="Q18" s="13">
        <f>'TUSD BE'!$Q$18*'TUSD BF'!$Q$58</f>
        <v>0</v>
      </c>
      <c r="R18" s="13">
        <f>'TUSD BE'!$R$18*'TUSD BF'!$R$58</f>
        <v>0</v>
      </c>
      <c r="S18" s="13">
        <f>'TUSD BE'!$R$18*'TUSD BF'!$S$58</f>
        <v>0</v>
      </c>
      <c r="T18" s="13">
        <f ca="1">SUM($L$18:$S$18)</f>
        <v>0</v>
      </c>
      <c r="U18" s="13">
        <f>'TUSD BE'!$U$18*'TUSD BF'!$U$58</f>
        <v>0</v>
      </c>
      <c r="V18" s="13">
        <f>'TUSD BE'!$V$18*'TUSD BF'!$V$58</f>
        <v>0</v>
      </c>
      <c r="W18" s="13">
        <f>'TUSD BE'!$W$18*'TUSD BF'!$W$58</f>
        <v>0</v>
      </c>
      <c r="X18" s="13">
        <f>'TUSD BE'!$X$18*'TUSD BF'!$X$58</f>
        <v>0</v>
      </c>
      <c r="Y18" s="13">
        <f>'TUSD BE'!$Y$18*'TUSD BF'!$Y$58</f>
        <v>0</v>
      </c>
      <c r="Z18" s="13">
        <f>'TUSD BE'!$Z$18*'TUSD BF'!$Z$58</f>
        <v>0</v>
      </c>
      <c r="AA18" s="13">
        <f>'TUSD BE'!$AA$18*'TUSD BF'!$AA$58</f>
        <v>0</v>
      </c>
      <c r="AB18" s="13">
        <f>SUM($U$18:$AA$18)</f>
        <v>0</v>
      </c>
      <c r="AC18" s="13">
        <f>'TUSD BE'!$AC$18*'TUSD BF'!$AC$58</f>
        <v>0</v>
      </c>
      <c r="AD18" s="13">
        <f>SUM($AC$18:$AC$18)</f>
        <v>0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BF'!$AH$58</f>
        <v>0</v>
      </c>
      <c r="AI18" s="13">
        <f>'TUSD BE'!$AI$18*'TUSD BF'!$AI$58</f>
        <v>0</v>
      </c>
      <c r="AJ18" s="13">
        <f ca="1">'TUSD BE'!$AJ$18*'TUSD BF'!$AJ$58</f>
        <v>0</v>
      </c>
      <c r="AK18" s="13">
        <f ca="1">'TUSD BE'!$AK$18*'TUSD BF'!$AK$58</f>
        <v>0</v>
      </c>
      <c r="AL18" s="13">
        <f ca="1">SUM($AH$18:$AK$18)</f>
        <v>0</v>
      </c>
      <c r="AM18" s="13">
        <f ca="1">SUMIF($L$4:$AL$4,"SUBTOTAL",$L$18:$AL$18)</f>
        <v>0</v>
      </c>
      <c r="AO18" s="26">
        <f ca="1">+'TUSD BE'!$T$18+'TUSD BE'!$AB$18+'TUSD BE'!$AD$18+'TUSD BE'!$AL$18</f>
        <v>1389.7134604283688</v>
      </c>
      <c r="AP18" s="26">
        <f ca="1">+'TUSD BE'!$T$18+'TUSD BE'!$AB$18+'TUSD BE'!$AD$18+'TUSD BE'!$AL$18</f>
        <v>1389.7134604283688</v>
      </c>
    </row>
    <row r="19" spans="1:42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>
        <f>'TUSD BE'!$L$19*'TUSD BF'!$L$58</f>
        <v>0</v>
      </c>
      <c r="M19" s="13">
        <f>'TUSD BE'!$M$19*'TUSD BF'!$M$58</f>
        <v>0</v>
      </c>
      <c r="N19" s="13">
        <f ca="1">'TUSD BE'!$N$19*'TUSD BF'!$N$58</f>
        <v>0</v>
      </c>
      <c r="O19" s="13">
        <f>'TUSD BE'!$O$19*'TUSD BF'!$O$58</f>
        <v>0</v>
      </c>
      <c r="P19" s="13">
        <f>'TUSD BE'!$P$19*'TUSD BF'!$P$58</f>
        <v>0</v>
      </c>
      <c r="Q19" s="13">
        <f>'TUSD BE'!$Q$19*'TUSD BF'!$Q$58</f>
        <v>0</v>
      </c>
      <c r="R19" s="13">
        <f>'TUSD BE'!$R$19*'TUSD BF'!$R$58</f>
        <v>0</v>
      </c>
      <c r="S19" s="13">
        <f>'TUSD BE'!$R$19*'TUSD BF'!$S$58</f>
        <v>0</v>
      </c>
      <c r="T19" s="13">
        <f ca="1">SUM($L$19:$S$19)</f>
        <v>0</v>
      </c>
      <c r="U19" s="13">
        <f>'TUSD BE'!$U$19*'TUSD BF'!$U$58</f>
        <v>0</v>
      </c>
      <c r="V19" s="13">
        <f>'TUSD BE'!$V$19*'TUSD BF'!$V$58</f>
        <v>0</v>
      </c>
      <c r="W19" s="13">
        <f>'TUSD BE'!$W$19*'TUSD BF'!$W$58</f>
        <v>0</v>
      </c>
      <c r="X19" s="13">
        <f>'TUSD BE'!$X$19*'TUSD BF'!$X$58</f>
        <v>0</v>
      </c>
      <c r="Y19" s="13">
        <f>'TUSD BE'!$Y$19*'TUSD BF'!$Y$58</f>
        <v>0</v>
      </c>
      <c r="Z19" s="13">
        <f>'TUSD BE'!$Z$19*'TUSD BF'!$Z$58</f>
        <v>0</v>
      </c>
      <c r="AA19" s="13">
        <f>'TUSD BE'!$AA$19*'TUSD BF'!$AA$58</f>
        <v>0</v>
      </c>
      <c r="AB19" s="13">
        <f>SUM($U$19:$AA$19)</f>
        <v>0</v>
      </c>
      <c r="AC19" s="13">
        <f>'TUSD BE'!$AC$19*'TUSD BF'!$AC$58</f>
        <v>0</v>
      </c>
      <c r="AD19" s="13">
        <f>SUM($AC$19:$AC$19)</f>
        <v>0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BF'!$AH$58</f>
        <v>0</v>
      </c>
      <c r="AI19" s="13">
        <f>'TUSD BE'!$AI$19*'TUSD BF'!$AI$58</f>
        <v>0</v>
      </c>
      <c r="AJ19" s="13">
        <f ca="1">'TUSD BE'!$AJ$19*'TUSD BF'!$AJ$58</f>
        <v>0</v>
      </c>
      <c r="AK19" s="13">
        <f ca="1">'TUSD BE'!$AK$19*'TUSD BF'!$AK$58</f>
        <v>0</v>
      </c>
      <c r="AL19" s="13">
        <f ca="1">SUM($AH$19:$AK$19)</f>
        <v>0</v>
      </c>
      <c r="AM19" s="13">
        <f ca="1">SUMIF($L$4:$AL$4,"SUBTOTAL",$L$19:$AL$19)</f>
        <v>0</v>
      </c>
      <c r="AO19" s="26">
        <f ca="1">+'TUSD BE'!$T$19+'TUSD BE'!$AB$19+'TUSD BE'!$AD$19+'TUSD BE'!$AL$19</f>
        <v>551.40088139059549</v>
      </c>
      <c r="AP19" s="26">
        <f ca="1">+'TUSD BE'!$T$19+'TUSD BE'!$AB$19+'TUSD BE'!$AD$19+'TUSD BE'!$AL$19</f>
        <v>551.40088139059549</v>
      </c>
    </row>
    <row r="20" spans="1:42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>
        <f>'TUSD BE'!$L$20*'TUSD BF'!$L$58</f>
        <v>0</v>
      </c>
      <c r="M20" s="13">
        <f>'TUSD BE'!$M$20*'TUSD BF'!$M$58</f>
        <v>0</v>
      </c>
      <c r="N20" s="13">
        <f ca="1">'TUSD BE'!$N$20*'TUSD BF'!$N$58</f>
        <v>0</v>
      </c>
      <c r="O20" s="13">
        <f>'TUSD BE'!$O$20*'TUSD BF'!$O$58</f>
        <v>0</v>
      </c>
      <c r="P20" s="13">
        <f>'TUSD BE'!$P$20*'TUSD BF'!$P$58</f>
        <v>0</v>
      </c>
      <c r="Q20" s="13">
        <f>'TUSD BE'!$Q$20*'TUSD BF'!$Q$58</f>
        <v>0</v>
      </c>
      <c r="R20" s="13">
        <f>'TUSD BE'!$R$20*'TUSD BF'!$R$58</f>
        <v>0</v>
      </c>
      <c r="S20" s="13">
        <f>'TUSD BE'!$R$20*'TUSD BF'!$S$58</f>
        <v>0</v>
      </c>
      <c r="T20" s="13">
        <f ca="1">SUM($L$20:$S$20)</f>
        <v>0</v>
      </c>
      <c r="U20" s="13">
        <f>'TUSD BE'!$U$20*'TUSD BF'!$U$58</f>
        <v>0</v>
      </c>
      <c r="V20" s="13">
        <f>'TUSD BE'!$V$20*'TUSD BF'!$V$58</f>
        <v>0</v>
      </c>
      <c r="W20" s="13">
        <f>'TUSD BE'!$W$20*'TUSD BF'!$W$58</f>
        <v>0</v>
      </c>
      <c r="X20" s="13">
        <f>'TUSD BE'!$X$20*'TUSD BF'!$X$58</f>
        <v>0</v>
      </c>
      <c r="Y20" s="13">
        <f>'TUSD BE'!$Y$20*'TUSD BF'!$Y$58</f>
        <v>0</v>
      </c>
      <c r="Z20" s="13">
        <f>'TUSD BE'!$Z$20*'TUSD BF'!$Z$58</f>
        <v>0</v>
      </c>
      <c r="AA20" s="13">
        <f>'TUSD BE'!$AA$20*'TUSD BF'!$AA$58</f>
        <v>0</v>
      </c>
      <c r="AB20" s="13">
        <f>SUM($U$20:$AA$20)</f>
        <v>0</v>
      </c>
      <c r="AC20" s="13">
        <f>'TUSD BE'!$AC$20*'TUSD BF'!$AC$58</f>
        <v>0</v>
      </c>
      <c r="AD20" s="13">
        <f>SUM($AC$20:$AC$20)</f>
        <v>0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BF'!$AH$58</f>
        <v>0</v>
      </c>
      <c r="AI20" s="13">
        <f>'TUSD BE'!$AI$20*'TUSD BF'!$AI$58</f>
        <v>0</v>
      </c>
      <c r="AJ20" s="13">
        <f ca="1">'TUSD BE'!$AJ$20*'TUSD BF'!$AJ$58</f>
        <v>0</v>
      </c>
      <c r="AK20" s="13">
        <f ca="1">'TUSD BE'!$AK$20*'TUSD BF'!$AK$58</f>
        <v>0</v>
      </c>
      <c r="AL20" s="13">
        <f ca="1">SUM($AH$20:$AK$20)</f>
        <v>0</v>
      </c>
      <c r="AM20" s="13">
        <f ca="1">SUMIF($L$4:$AL$4,"SUBTOTAL",$L$20:$AL$20)</f>
        <v>0</v>
      </c>
      <c r="AO20" s="26">
        <f ca="1">+'TUSD BE'!$T$20+'TUSD BE'!$AB$20+'TUSD BE'!$AD$20+'TUSD BE'!$AL$20</f>
        <v>854.9838904979589</v>
      </c>
      <c r="AP20" s="26">
        <f ca="1">+'TUSD BE'!$T$20+'TUSD BE'!$AB$20+'TUSD BE'!$AD$20+'TUSD BE'!$AL$20</f>
        <v>854.9838904979589</v>
      </c>
    </row>
    <row r="21" spans="1:42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>
        <f>'TUSD BE'!$L$21*'TUSD BF'!$L$58</f>
        <v>0</v>
      </c>
      <c r="M21" s="13">
        <f>'TUSD BE'!$M$21*'TUSD BF'!$M$58</f>
        <v>0</v>
      </c>
      <c r="N21" s="13">
        <f ca="1">'TUSD BE'!$N$21*'TUSD BF'!$N$58</f>
        <v>0</v>
      </c>
      <c r="O21" s="13">
        <f>'TUSD BE'!$O$21*'TUSD BF'!$O$58</f>
        <v>0</v>
      </c>
      <c r="P21" s="13">
        <f>'TUSD BE'!$P$21*'TUSD BF'!$P$58</f>
        <v>0</v>
      </c>
      <c r="Q21" s="13">
        <f>'TUSD BE'!$Q$21*'TUSD BF'!$Q$58</f>
        <v>0</v>
      </c>
      <c r="R21" s="13">
        <f>'TUSD BE'!$R$21*'TUSD BF'!$R$58</f>
        <v>0</v>
      </c>
      <c r="S21" s="13">
        <f>'TUSD BE'!$R$21*'TUSD BF'!$S$58</f>
        <v>0</v>
      </c>
      <c r="T21" s="13">
        <f ca="1">SUM($L$21:$S$21)</f>
        <v>0</v>
      </c>
      <c r="U21" s="13">
        <f>'TUSD BE'!$U$21*'TUSD BF'!$U$58</f>
        <v>0</v>
      </c>
      <c r="V21" s="13">
        <f>'TUSD BE'!$V$21*'TUSD BF'!$V$58</f>
        <v>0</v>
      </c>
      <c r="W21" s="13">
        <f>'TUSD BE'!$W$21*'TUSD BF'!$W$58</f>
        <v>0</v>
      </c>
      <c r="X21" s="13">
        <f>'TUSD BE'!$X$21*'TUSD BF'!$X$58</f>
        <v>0</v>
      </c>
      <c r="Y21" s="13">
        <f>'TUSD BE'!$Y$21*'TUSD BF'!$Y$58</f>
        <v>0</v>
      </c>
      <c r="Z21" s="13">
        <f>'TUSD BE'!$Z$21*'TUSD BF'!$Z$58</f>
        <v>0</v>
      </c>
      <c r="AA21" s="13">
        <f>'TUSD BE'!$AA$21*'TUSD BF'!$AA$58</f>
        <v>0</v>
      </c>
      <c r="AB21" s="13">
        <f>SUM($U$21:$AA$21)</f>
        <v>0</v>
      </c>
      <c r="AC21" s="13">
        <f>'TUSD BE'!$AC$21*'TUSD BF'!$AC$58</f>
        <v>0</v>
      </c>
      <c r="AD21" s="13">
        <f>SUM($AC$21:$AC$21)</f>
        <v>0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BF'!$AH$58</f>
        <v>0</v>
      </c>
      <c r="AI21" s="13">
        <f>'TUSD BE'!$AI$21*'TUSD BF'!$AI$58</f>
        <v>0</v>
      </c>
      <c r="AJ21" s="13">
        <f ca="1">'TUSD BE'!$AJ$21*'TUSD BF'!$AJ$58</f>
        <v>0</v>
      </c>
      <c r="AK21" s="13">
        <f ca="1">'TUSD BE'!$AK$21*'TUSD BF'!$AK$58</f>
        <v>0</v>
      </c>
      <c r="AL21" s="13">
        <f ca="1">SUM($AH$21:$AK$21)</f>
        <v>0</v>
      </c>
      <c r="AM21" s="13">
        <f ca="1">SUMIF($L$4:$AL$4,"SUBTOTAL",$L$21:$AL$21)</f>
        <v>0</v>
      </c>
      <c r="AO21" s="26">
        <f ca="1">+'TUSD BE'!$T$21+'TUSD BE'!$AB$21+'TUSD BE'!$AD$21+'TUSD BE'!$AL$21</f>
        <v>750.01424370225914</v>
      </c>
      <c r="AP21" s="26">
        <f ca="1">+'TUSD BE'!$T$21+'TUSD BE'!$AB$21+'TUSD BE'!$AD$21+'TUSD BE'!$AL$21</f>
        <v>750.01424370225914</v>
      </c>
    </row>
    <row r="22" spans="1:42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>
        <f>'TUSD BE'!$L$22*'TUSD BF'!$L$58</f>
        <v>0</v>
      </c>
      <c r="M22" s="13">
        <f>'TUSD BE'!$M$22*'TUSD BF'!$M$58</f>
        <v>0</v>
      </c>
      <c r="N22" s="13">
        <f ca="1">'TUSD BE'!$N$22*'TUSD BF'!$N$58</f>
        <v>0</v>
      </c>
      <c r="O22" s="13">
        <f>'TUSD BE'!$O$22*'TUSD BF'!$O$58</f>
        <v>0</v>
      </c>
      <c r="P22" s="13">
        <f>'TUSD BE'!$P$22*'TUSD BF'!$P$58</f>
        <v>0</v>
      </c>
      <c r="Q22" s="13">
        <f>'TUSD BE'!$Q$22*'TUSD BF'!$Q$58</f>
        <v>0</v>
      </c>
      <c r="R22" s="13">
        <f>'TUSD BE'!$R$22*'TUSD BF'!$R$58</f>
        <v>0</v>
      </c>
      <c r="S22" s="13">
        <f>'TUSD BE'!$R$22*'TUSD BF'!$S$58</f>
        <v>0</v>
      </c>
      <c r="T22" s="13">
        <f ca="1">SUM($L$22:$S$22)</f>
        <v>0</v>
      </c>
      <c r="U22" s="13">
        <f>'TUSD BE'!$U$22*'TUSD BF'!$U$58</f>
        <v>0</v>
      </c>
      <c r="V22" s="13">
        <f>'TUSD BE'!$V$22*'TUSD BF'!$V$58</f>
        <v>0</v>
      </c>
      <c r="W22" s="13">
        <f>'TUSD BE'!$W$22*'TUSD BF'!$W$58</f>
        <v>0</v>
      </c>
      <c r="X22" s="13">
        <f>'TUSD BE'!$X$22*'TUSD BF'!$X$58</f>
        <v>0</v>
      </c>
      <c r="Y22" s="13">
        <f>'TUSD BE'!$Y$22*'TUSD BF'!$Y$58</f>
        <v>0</v>
      </c>
      <c r="Z22" s="13">
        <f>'TUSD BE'!$Z$22*'TUSD BF'!$Z$58</f>
        <v>0</v>
      </c>
      <c r="AA22" s="13">
        <f>'TUSD BE'!$AA$22*'TUSD BF'!$AA$58</f>
        <v>0</v>
      </c>
      <c r="AB22" s="13">
        <f>SUM($U$22:$AA$22)</f>
        <v>0</v>
      </c>
      <c r="AC22" s="13">
        <f>'TUSD BE'!$AC$22*'TUSD BF'!$AC$58</f>
        <v>0</v>
      </c>
      <c r="AD22" s="13">
        <f>SUM($AC$22:$AC$22)</f>
        <v>0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BF'!$AH$58</f>
        <v>0</v>
      </c>
      <c r="AI22" s="13">
        <f>'TUSD BE'!$AI$22*'TUSD BF'!$AI$58</f>
        <v>0</v>
      </c>
      <c r="AJ22" s="13">
        <f ca="1">'TUSD BE'!$AJ$22*'TUSD BF'!$AJ$58</f>
        <v>0</v>
      </c>
      <c r="AK22" s="13">
        <f ca="1">'TUSD BE'!$AK$22*'TUSD BF'!$AK$58</f>
        <v>0</v>
      </c>
      <c r="AL22" s="13">
        <f ca="1">SUM($AH$22:$AK$22)</f>
        <v>0</v>
      </c>
      <c r="AM22" s="13">
        <f ca="1">SUMIF($L$4:$AL$4,"SUBTOTAL",$L$22:$AL$22)</f>
        <v>0</v>
      </c>
      <c r="AO22" s="26">
        <f ca="1">+'TUSD BE'!$T$22+'TUSD BE'!$AB$22+'TUSD BE'!$AD$22+'TUSD BE'!$AL$22</f>
        <v>750.01424370225914</v>
      </c>
      <c r="AP22" s="26">
        <f ca="1">+'TUSD BE'!$T$22+'TUSD BE'!$AB$22+'TUSD BE'!$AD$22+'TUSD BE'!$AL$22</f>
        <v>750.01424370225914</v>
      </c>
    </row>
    <row r="23" spans="1:42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>
        <f>'TUSD BE'!$L$23*'TUSD BF'!$L$58</f>
        <v>0</v>
      </c>
      <c r="M23" s="13">
        <f>'TUSD BE'!$M$23*'TUSD BF'!$M$58</f>
        <v>0</v>
      </c>
      <c r="N23" s="13">
        <f ca="1">'TUSD BE'!$N$23*'TUSD BF'!$N$58</f>
        <v>0</v>
      </c>
      <c r="O23" s="13">
        <f>'TUSD BE'!$O$23*'TUSD BF'!$O$58</f>
        <v>0</v>
      </c>
      <c r="P23" s="13">
        <f>'TUSD BE'!$P$23*'TUSD BF'!$P$58</f>
        <v>0</v>
      </c>
      <c r="Q23" s="13">
        <f>'TUSD BE'!$Q$23*'TUSD BF'!$Q$58</f>
        <v>0</v>
      </c>
      <c r="R23" s="13">
        <f>'TUSD BE'!$R$23*'TUSD BF'!$R$58</f>
        <v>0</v>
      </c>
      <c r="S23" s="13">
        <f>'TUSD BE'!$R$23*'TUSD BF'!$S$58</f>
        <v>0</v>
      </c>
      <c r="T23" s="13">
        <f ca="1">SUM($L$23:$S$23)</f>
        <v>0</v>
      </c>
      <c r="U23" s="13">
        <f>'TUSD BE'!$U$23*'TUSD BF'!$U$58</f>
        <v>0</v>
      </c>
      <c r="V23" s="13">
        <f>'TUSD BE'!$V$23*'TUSD BF'!$V$58</f>
        <v>0</v>
      </c>
      <c r="W23" s="13">
        <f>'TUSD BE'!$W$23*'TUSD BF'!$W$58</f>
        <v>0</v>
      </c>
      <c r="X23" s="13">
        <f>'TUSD BE'!$X$23*'TUSD BF'!$X$58</f>
        <v>0</v>
      </c>
      <c r="Y23" s="13">
        <f>'TUSD BE'!$Y$23*'TUSD BF'!$Y$58</f>
        <v>0</v>
      </c>
      <c r="Z23" s="13">
        <f>'TUSD BE'!$Z$23*'TUSD BF'!$Z$58</f>
        <v>0</v>
      </c>
      <c r="AA23" s="13">
        <f>'TUSD BE'!$AA$23*'TUSD BF'!$AA$58</f>
        <v>0</v>
      </c>
      <c r="AB23" s="13">
        <f>SUM($U$23:$AA$23)</f>
        <v>0</v>
      </c>
      <c r="AC23" s="13">
        <f>'TUSD BE'!$AC$23*'TUSD BF'!$AC$58</f>
        <v>0</v>
      </c>
      <c r="AD23" s="13">
        <f>SUM($AC$23:$AC$23)</f>
        <v>0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BF'!$AH$58</f>
        <v>0</v>
      </c>
      <c r="AI23" s="13">
        <f>'TUSD BE'!$AI$23*'TUSD BF'!$AI$58</f>
        <v>0</v>
      </c>
      <c r="AJ23" s="13">
        <f ca="1">'TUSD BE'!$AJ$23*'TUSD BF'!$AJ$58</f>
        <v>0</v>
      </c>
      <c r="AK23" s="13">
        <f ca="1">'TUSD BE'!$AK$23*'TUSD BF'!$AK$58</f>
        <v>0</v>
      </c>
      <c r="AL23" s="13">
        <f ca="1">SUM($AH$23:$AK$23)</f>
        <v>0</v>
      </c>
      <c r="AM23" s="13">
        <f ca="1">SUMIF($L$4:$AL$4,"SUBTOTAL",$L$23:$AL$23)</f>
        <v>0</v>
      </c>
      <c r="AO23" s="26">
        <f ca="1">+'TUSD BE'!$T$23+'TUSD BE'!$AB$23+'TUSD BE'!$AD$23+'TUSD BE'!$AL$23</f>
        <v>750.01424370225914</v>
      </c>
      <c r="AP23" s="26">
        <f ca="1">+'TUSD BE'!$T$23+'TUSD BE'!$AB$23+'TUSD BE'!$AD$23+'TUSD BE'!$AL$23</f>
        <v>750.01424370225914</v>
      </c>
    </row>
    <row r="24" spans="1:42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>
        <f>'TUSD BE'!$L$24*'TUSD BF'!$L$58</f>
        <v>0</v>
      </c>
      <c r="M24" s="13">
        <f>'TUSD BE'!$M$24*'TUSD BF'!$M$58</f>
        <v>0</v>
      </c>
      <c r="N24" s="13">
        <f ca="1">'TUSD BE'!$N$24*'TUSD BF'!$N$58</f>
        <v>0</v>
      </c>
      <c r="O24" s="13">
        <f>'TUSD BE'!$O$24*'TUSD BF'!$O$58</f>
        <v>0</v>
      </c>
      <c r="P24" s="13">
        <f>'TUSD BE'!$P$24*'TUSD BF'!$P$58</f>
        <v>0</v>
      </c>
      <c r="Q24" s="13">
        <f>'TUSD BE'!$Q$24*'TUSD BF'!$Q$58</f>
        <v>0</v>
      </c>
      <c r="R24" s="13">
        <f>'TUSD BE'!$R$24*'TUSD BF'!$R$58</f>
        <v>0</v>
      </c>
      <c r="S24" s="13">
        <f>'TUSD BE'!$R$24*'TUSD BF'!$S$58</f>
        <v>0</v>
      </c>
      <c r="T24" s="13">
        <f ca="1">SUM($L$24:$S$24)</f>
        <v>0</v>
      </c>
      <c r="U24" s="13">
        <f>'TUSD BE'!$U$24*'TUSD BF'!$U$58</f>
        <v>0</v>
      </c>
      <c r="V24" s="13">
        <f>'TUSD BE'!$V$24*'TUSD BF'!$V$58</f>
        <v>0</v>
      </c>
      <c r="W24" s="13">
        <f>'TUSD BE'!$W$24*'TUSD BF'!$W$58</f>
        <v>0</v>
      </c>
      <c r="X24" s="13">
        <f>'TUSD BE'!$X$24*'TUSD BF'!$X$58</f>
        <v>0</v>
      </c>
      <c r="Y24" s="13">
        <f>'TUSD BE'!$Y$24*'TUSD BF'!$Y$58</f>
        <v>0</v>
      </c>
      <c r="Z24" s="13">
        <f>'TUSD BE'!$Z$24*'TUSD BF'!$Z$58</f>
        <v>0</v>
      </c>
      <c r="AA24" s="13">
        <f>'TUSD BE'!$AA$24*'TUSD BF'!$AA$58</f>
        <v>0</v>
      </c>
      <c r="AB24" s="13">
        <f>SUM($U$24:$AA$24)</f>
        <v>0</v>
      </c>
      <c r="AC24" s="13">
        <f>'TUSD BE'!$AC$24*'TUSD BF'!$AC$58</f>
        <v>0</v>
      </c>
      <c r="AD24" s="13">
        <f>SUM($AC$24:$AC$24)</f>
        <v>0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BF'!$AH$58</f>
        <v>0</v>
      </c>
      <c r="AI24" s="13">
        <f>'TUSD BE'!$AI$24*'TUSD BF'!$AI$58</f>
        <v>0</v>
      </c>
      <c r="AJ24" s="13">
        <f ca="1">'TUSD BE'!$AJ$24*'TUSD BF'!$AJ$58</f>
        <v>0</v>
      </c>
      <c r="AK24" s="13">
        <f ca="1">'TUSD BE'!$AK$24*'TUSD BF'!$AK$58</f>
        <v>0</v>
      </c>
      <c r="AL24" s="13">
        <f ca="1">SUM($AH$24:$AK$24)</f>
        <v>0</v>
      </c>
      <c r="AM24" s="13">
        <f ca="1">SUMIF($L$4:$AL$4,"SUBTOTAL",$L$24:$AL$24)</f>
        <v>0</v>
      </c>
      <c r="AO24" s="26">
        <f ca="1">+'TUSD BE'!$T$24+'TUSD BE'!$AB$24+'TUSD BE'!$AD$24+'TUSD BE'!$AL$24</f>
        <v>750.01424370225914</v>
      </c>
      <c r="AP24" s="26">
        <f ca="1">+'TUSD BE'!$T$24+'TUSD BE'!$AB$24+'TUSD BE'!$AD$24+'TUSD BE'!$AL$24</f>
        <v>750.01424370225914</v>
      </c>
    </row>
    <row r="25" spans="1:42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>
        <f>'TUSD BE'!$L$25*'TUSD BF'!$L$58</f>
        <v>0</v>
      </c>
      <c r="M25" s="13">
        <f>'TUSD BE'!$M$25*'TUSD BF'!$M$58</f>
        <v>0</v>
      </c>
      <c r="N25" s="13">
        <f ca="1">'TUSD BE'!$N$25*'TUSD BF'!$N$58</f>
        <v>0</v>
      </c>
      <c r="O25" s="13">
        <f>'TUSD BE'!$O$25*'TUSD BF'!$O$58</f>
        <v>0</v>
      </c>
      <c r="P25" s="13">
        <f>'TUSD BE'!$P$25*'TUSD BF'!$P$58</f>
        <v>0</v>
      </c>
      <c r="Q25" s="13">
        <f>'TUSD BE'!$Q$25*'TUSD BF'!$Q$58</f>
        <v>0</v>
      </c>
      <c r="R25" s="13">
        <f>'TUSD BE'!$R$25*'TUSD BF'!$R$58</f>
        <v>0</v>
      </c>
      <c r="S25" s="13">
        <f>'TUSD BE'!$R$25*'TUSD BF'!$S$58</f>
        <v>0</v>
      </c>
      <c r="T25" s="13">
        <f ca="1">SUM($L$25:$S$25)</f>
        <v>0</v>
      </c>
      <c r="U25" s="13">
        <f>'TUSD BE'!$U$25*'TUSD BF'!$U$58</f>
        <v>0</v>
      </c>
      <c r="V25" s="13">
        <f>'TUSD BE'!$V$25*'TUSD BF'!$V$58</f>
        <v>0</v>
      </c>
      <c r="W25" s="13">
        <f>'TUSD BE'!$W$25*'TUSD BF'!$W$58</f>
        <v>0</v>
      </c>
      <c r="X25" s="13">
        <f>'TUSD BE'!$X$25*'TUSD BF'!$X$58</f>
        <v>0</v>
      </c>
      <c r="Y25" s="13">
        <f>'TUSD BE'!$Y$25*'TUSD BF'!$Y$58</f>
        <v>0</v>
      </c>
      <c r="Z25" s="13">
        <f>'TUSD BE'!$Z$25*'TUSD BF'!$Z$58</f>
        <v>0</v>
      </c>
      <c r="AA25" s="13">
        <f>'TUSD BE'!$AA$25*'TUSD BF'!$AA$58</f>
        <v>0</v>
      </c>
      <c r="AB25" s="13">
        <f>SUM($U$25:$AA$25)</f>
        <v>0</v>
      </c>
      <c r="AC25" s="13">
        <f>'TUSD BE'!$AC$25*'TUSD BF'!$AC$58</f>
        <v>0</v>
      </c>
      <c r="AD25" s="13">
        <f>SUM($AC$25:$AC$25)</f>
        <v>0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BF'!$AH$58</f>
        <v>0</v>
      </c>
      <c r="AI25" s="13">
        <f>'TUSD BE'!$AI$25*'TUSD BF'!$AI$58</f>
        <v>0</v>
      </c>
      <c r="AJ25" s="13">
        <f ca="1">'TUSD BE'!$AJ$25*'TUSD BF'!$AJ$58</f>
        <v>0</v>
      </c>
      <c r="AK25" s="13">
        <f ca="1">'TUSD BE'!$AK$25*'TUSD BF'!$AK$58</f>
        <v>0</v>
      </c>
      <c r="AL25" s="13">
        <f ca="1">SUM($AH$25:$AK$25)</f>
        <v>0</v>
      </c>
      <c r="AM25" s="13">
        <f ca="1">SUMIF($L$4:$AL$4,"SUBTOTAL",$L$25:$AL$25)</f>
        <v>0</v>
      </c>
      <c r="AO25" s="26">
        <f ca="1">+'TUSD BE'!$T$25+'TUSD BE'!$AB$25+'TUSD BE'!$AD$25+'TUSD BE'!$AL$25</f>
        <v>854.9838904979589</v>
      </c>
      <c r="AP25" s="26">
        <f ca="1">+'TUSD BE'!$T$25+'TUSD BE'!$AB$25+'TUSD BE'!$AD$25+'TUSD BE'!$AL$25</f>
        <v>854.9838904979589</v>
      </c>
    </row>
    <row r="26" spans="1:42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>
        <f>'TUSD BE'!$L$26*'TUSD BF'!$L$58</f>
        <v>0</v>
      </c>
      <c r="M26" s="13">
        <f>'TUSD BE'!$M$26*'TUSD BF'!$M$58</f>
        <v>0</v>
      </c>
      <c r="N26" s="13">
        <f ca="1">'TUSD BE'!$N$26*'TUSD BF'!$N$58</f>
        <v>0</v>
      </c>
      <c r="O26" s="13">
        <f>'TUSD BE'!$O$26*'TUSD BF'!$O$58</f>
        <v>0</v>
      </c>
      <c r="P26" s="13">
        <f>'TUSD BE'!$P$26*'TUSD BF'!$P$58</f>
        <v>0</v>
      </c>
      <c r="Q26" s="13">
        <f>'TUSD BE'!$Q$26*'TUSD BF'!$Q$58</f>
        <v>0</v>
      </c>
      <c r="R26" s="13">
        <f>'TUSD BE'!$R$26*'TUSD BF'!$R$58</f>
        <v>0</v>
      </c>
      <c r="S26" s="13">
        <f>'TUSD BE'!$R$26*'TUSD BF'!$S$58</f>
        <v>0</v>
      </c>
      <c r="T26" s="13">
        <f ca="1">SUM($L$26:$S$26)</f>
        <v>0</v>
      </c>
      <c r="U26" s="13">
        <f>'TUSD BE'!$U$26*'TUSD BF'!$U$58</f>
        <v>0</v>
      </c>
      <c r="V26" s="13">
        <f>'TUSD BE'!$V$26*'TUSD BF'!$V$58</f>
        <v>0</v>
      </c>
      <c r="W26" s="13">
        <f>'TUSD BE'!$W$26*'TUSD BF'!$W$58</f>
        <v>0</v>
      </c>
      <c r="X26" s="13">
        <f>'TUSD BE'!$X$26*'TUSD BF'!$X$58</f>
        <v>0</v>
      </c>
      <c r="Y26" s="13">
        <f>'TUSD BE'!$Y$26*'TUSD BF'!$Y$58</f>
        <v>0</v>
      </c>
      <c r="Z26" s="13">
        <f>'TUSD BE'!$Z$26*'TUSD BF'!$Z$58</f>
        <v>0</v>
      </c>
      <c r="AA26" s="13">
        <f>'TUSD BE'!$AA$26*'TUSD BF'!$AA$58</f>
        <v>0</v>
      </c>
      <c r="AB26" s="13">
        <f>SUM($U$26:$AA$26)</f>
        <v>0</v>
      </c>
      <c r="AC26" s="13">
        <f>'TUSD BE'!$AC$26*'TUSD BF'!$AC$58</f>
        <v>0</v>
      </c>
      <c r="AD26" s="13">
        <f>SUM($AC$26:$AC$26)</f>
        <v>0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BF'!$AH$58</f>
        <v>0</v>
      </c>
      <c r="AI26" s="13">
        <f>'TUSD BE'!$AI$26*'TUSD BF'!$AI$58</f>
        <v>0</v>
      </c>
      <c r="AJ26" s="13">
        <f ca="1">'TUSD BE'!$AJ$26*'TUSD BF'!$AJ$58</f>
        <v>0</v>
      </c>
      <c r="AK26" s="13">
        <f ca="1">'TUSD BE'!$AK$26*'TUSD BF'!$AK$58</f>
        <v>0</v>
      </c>
      <c r="AL26" s="13">
        <f ca="1">SUM($AH$26:$AK$26)</f>
        <v>0</v>
      </c>
      <c r="AM26" s="13">
        <f ca="1">SUMIF($L$4:$AL$4,"SUBTOTAL",$L$26:$AL$26)</f>
        <v>0</v>
      </c>
      <c r="AO26" s="26">
        <f ca="1">+'TUSD BE'!$T$26+'TUSD BE'!$AB$26+'TUSD BE'!$AD$26+'TUSD BE'!$AL$26</f>
        <v>750.01424370225914</v>
      </c>
      <c r="AP26" s="26">
        <f ca="1">+'TUSD BE'!$T$26+'TUSD BE'!$AB$26+'TUSD BE'!$AD$26+'TUSD BE'!$AL$26</f>
        <v>750.01424370225914</v>
      </c>
    </row>
    <row r="27" spans="1:42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>
        <f>'TUSD BE'!$L$27*'TUSD BF'!$L$58</f>
        <v>0</v>
      </c>
      <c r="M27" s="13">
        <f>'TUSD BE'!$M$27*'TUSD BF'!$M$58</f>
        <v>0</v>
      </c>
      <c r="N27" s="13">
        <f ca="1">'TUSD BE'!$N$27*'TUSD BF'!$N$58</f>
        <v>0</v>
      </c>
      <c r="O27" s="13">
        <f>'TUSD BE'!$O$27*'TUSD BF'!$O$58</f>
        <v>0</v>
      </c>
      <c r="P27" s="13">
        <f>'TUSD BE'!$P$27*'TUSD BF'!$P$58</f>
        <v>0</v>
      </c>
      <c r="Q27" s="13">
        <f>'TUSD BE'!$Q$27*'TUSD BF'!$Q$58</f>
        <v>0</v>
      </c>
      <c r="R27" s="13">
        <f>'TUSD BE'!$R$27*'TUSD BF'!$R$58</f>
        <v>0</v>
      </c>
      <c r="S27" s="13">
        <f>'TUSD BE'!$R$27*'TUSD BF'!$S$58</f>
        <v>0</v>
      </c>
      <c r="T27" s="13">
        <f ca="1">SUM($L$27:$S$27)</f>
        <v>0</v>
      </c>
      <c r="U27" s="13">
        <f>'TUSD BE'!$U$27*'TUSD BF'!$U$58</f>
        <v>0</v>
      </c>
      <c r="V27" s="13">
        <f>'TUSD BE'!$V$27*'TUSD BF'!$V$58</f>
        <v>0</v>
      </c>
      <c r="W27" s="13">
        <f>'TUSD BE'!$W$27*'TUSD BF'!$W$58</f>
        <v>0</v>
      </c>
      <c r="X27" s="13">
        <f>'TUSD BE'!$X$27*'TUSD BF'!$X$58</f>
        <v>0</v>
      </c>
      <c r="Y27" s="13">
        <f>'TUSD BE'!$Y$27*'TUSD BF'!$Y$58</f>
        <v>0</v>
      </c>
      <c r="Z27" s="13">
        <f>'TUSD BE'!$Z$27*'TUSD BF'!$Z$58</f>
        <v>0</v>
      </c>
      <c r="AA27" s="13">
        <f>'TUSD BE'!$AA$27*'TUSD BF'!$AA$58</f>
        <v>0</v>
      </c>
      <c r="AB27" s="13">
        <f>SUM($U$27:$AA$27)</f>
        <v>0</v>
      </c>
      <c r="AC27" s="13">
        <f>'TUSD BE'!$AC$27*'TUSD BF'!$AC$58</f>
        <v>0</v>
      </c>
      <c r="AD27" s="13">
        <f>SUM($AC$27:$AC$27)</f>
        <v>0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BF'!$AH$58</f>
        <v>0</v>
      </c>
      <c r="AI27" s="13">
        <f>'TUSD BE'!$AI$27*'TUSD BF'!$AI$58</f>
        <v>0</v>
      </c>
      <c r="AJ27" s="13">
        <f ca="1">'TUSD BE'!$AJ$27*'TUSD BF'!$AJ$58</f>
        <v>0</v>
      </c>
      <c r="AK27" s="13">
        <f ca="1">'TUSD BE'!$AK$27*'TUSD BF'!$AK$58</f>
        <v>0</v>
      </c>
      <c r="AL27" s="13">
        <f ca="1">SUM($AH$27:$AK$27)</f>
        <v>0</v>
      </c>
      <c r="AM27" s="13">
        <f ca="1">SUMIF($L$4:$AL$4,"SUBTOTAL",$L$27:$AL$27)</f>
        <v>0</v>
      </c>
      <c r="AO27" s="26">
        <f ca="1">+'TUSD BE'!$T$27+'TUSD BE'!$AB$27+'TUSD BE'!$AD$27+'TUSD BE'!$AL$27</f>
        <v>750.01424370225914</v>
      </c>
      <c r="AP27" s="26">
        <f ca="1">+'TUSD BE'!$T$27+'TUSD BE'!$AB$27+'TUSD BE'!$AD$27+'TUSD BE'!$AL$27</f>
        <v>750.01424370225914</v>
      </c>
    </row>
    <row r="28" spans="1:42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>
        <f>'TUSD BE'!$L$28*'TUSD BF'!$L$58</f>
        <v>0</v>
      </c>
      <c r="M28" s="13">
        <f>'TUSD BE'!$M$28*'TUSD BF'!$M$58</f>
        <v>0</v>
      </c>
      <c r="N28" s="13">
        <f ca="1">'TUSD BE'!$N$28*'TUSD BF'!$N$58</f>
        <v>0</v>
      </c>
      <c r="O28" s="13">
        <f>'TUSD BE'!$O$28*'TUSD BF'!$O$58</f>
        <v>0</v>
      </c>
      <c r="P28" s="13">
        <f>'TUSD BE'!$P$28*'TUSD BF'!$P$58</f>
        <v>0</v>
      </c>
      <c r="Q28" s="13">
        <f>'TUSD BE'!$Q$28*'TUSD BF'!$Q$58</f>
        <v>0</v>
      </c>
      <c r="R28" s="13">
        <f>'TUSD BE'!$R$28*'TUSD BF'!$R$58</f>
        <v>0</v>
      </c>
      <c r="S28" s="13">
        <f>'TUSD BE'!$R$28*'TUSD BF'!$S$58</f>
        <v>0</v>
      </c>
      <c r="T28" s="13">
        <f ca="1">SUM($L$28:$S$28)</f>
        <v>0</v>
      </c>
      <c r="U28" s="13">
        <f>'TUSD BE'!$U$28*'TUSD BF'!$U$58</f>
        <v>0</v>
      </c>
      <c r="V28" s="13">
        <f>'TUSD BE'!$V$28*'TUSD BF'!$V$58</f>
        <v>0</v>
      </c>
      <c r="W28" s="13">
        <f>'TUSD BE'!$W$28*'TUSD BF'!$W$58</f>
        <v>0</v>
      </c>
      <c r="X28" s="13">
        <f>'TUSD BE'!$X$28*'TUSD BF'!$X$58</f>
        <v>0</v>
      </c>
      <c r="Y28" s="13">
        <f>'TUSD BE'!$Y$28*'TUSD BF'!$Y$58</f>
        <v>0</v>
      </c>
      <c r="Z28" s="13">
        <f>'TUSD BE'!$Z$28*'TUSD BF'!$Z$58</f>
        <v>0</v>
      </c>
      <c r="AA28" s="13">
        <f>'TUSD BE'!$AA$28*'TUSD BF'!$AA$58</f>
        <v>0</v>
      </c>
      <c r="AB28" s="13">
        <f>SUM($U$28:$AA$28)</f>
        <v>0</v>
      </c>
      <c r="AC28" s="13">
        <f>'TUSD BE'!$AC$28*'TUSD BF'!$AC$58</f>
        <v>0</v>
      </c>
      <c r="AD28" s="13">
        <f>SUM($AC$28:$AC$28)</f>
        <v>0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BF'!$AH$58</f>
        <v>0</v>
      </c>
      <c r="AI28" s="13">
        <f>'TUSD BE'!$AI$28*'TUSD BF'!$AI$58</f>
        <v>0</v>
      </c>
      <c r="AJ28" s="13">
        <f ca="1">'TUSD BE'!$AJ$28*'TUSD BF'!$AJ$58</f>
        <v>0</v>
      </c>
      <c r="AK28" s="13">
        <f ca="1">'TUSD BE'!$AK$28*'TUSD BF'!$AK$58</f>
        <v>0</v>
      </c>
      <c r="AL28" s="13">
        <f ca="1">SUM($AH$28:$AK$28)</f>
        <v>0</v>
      </c>
      <c r="AM28" s="13">
        <f ca="1">SUMIF($L$4:$AL$4,"SUBTOTAL",$L$28:$AL$28)</f>
        <v>0</v>
      </c>
      <c r="AO28" s="26">
        <f ca="1">+'TUSD BE'!$T$28+'TUSD BE'!$AB$28+'TUSD BE'!$AD$28+'TUSD BE'!$AL$28</f>
        <v>750.01424370225914</v>
      </c>
      <c r="AP28" s="26">
        <f ca="1">+'TUSD BE'!$T$28+'TUSD BE'!$AB$28+'TUSD BE'!$AD$28+'TUSD BE'!$AL$28</f>
        <v>750.01424370225914</v>
      </c>
    </row>
    <row r="29" spans="1:42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>
        <f>'TUSD BE'!$L$29*'TUSD BF'!$L$58</f>
        <v>0</v>
      </c>
      <c r="M29" s="13">
        <f>'TUSD BE'!$M$29*'TUSD BF'!$M$58</f>
        <v>0</v>
      </c>
      <c r="N29" s="13">
        <f ca="1">'TUSD BE'!$N$29*'TUSD BF'!$N$58</f>
        <v>0</v>
      </c>
      <c r="O29" s="13">
        <f>'TUSD BE'!$O$29*'TUSD BF'!$O$58</f>
        <v>0</v>
      </c>
      <c r="P29" s="13">
        <f>'TUSD BE'!$P$29*'TUSD BF'!$P$58</f>
        <v>0</v>
      </c>
      <c r="Q29" s="13">
        <f>'TUSD BE'!$Q$29*'TUSD BF'!$Q$58</f>
        <v>0</v>
      </c>
      <c r="R29" s="13">
        <f>'TUSD BE'!$R$29*'TUSD BF'!$R$58</f>
        <v>0</v>
      </c>
      <c r="S29" s="13">
        <f>'TUSD BE'!$R$29*'TUSD BF'!$S$58</f>
        <v>0</v>
      </c>
      <c r="T29" s="13">
        <f ca="1">SUM($L$29:$S$29)</f>
        <v>0</v>
      </c>
      <c r="U29" s="13">
        <f>'TUSD BE'!$U$29*'TUSD BF'!$U$58</f>
        <v>0</v>
      </c>
      <c r="V29" s="13">
        <f>'TUSD BE'!$V$29*'TUSD BF'!$V$58</f>
        <v>0</v>
      </c>
      <c r="W29" s="13">
        <f>'TUSD BE'!$W$29*'TUSD BF'!$W$58</f>
        <v>0</v>
      </c>
      <c r="X29" s="13">
        <f>'TUSD BE'!$X$29*'TUSD BF'!$X$58</f>
        <v>0</v>
      </c>
      <c r="Y29" s="13">
        <f>'TUSD BE'!$Y$29*'TUSD BF'!$Y$58</f>
        <v>0</v>
      </c>
      <c r="Z29" s="13">
        <f>'TUSD BE'!$Z$29*'TUSD BF'!$Z$58</f>
        <v>0</v>
      </c>
      <c r="AA29" s="13">
        <f>'TUSD BE'!$AA$29*'TUSD BF'!$AA$58</f>
        <v>0</v>
      </c>
      <c r="AB29" s="13">
        <f>SUM($U$29:$AA$29)</f>
        <v>0</v>
      </c>
      <c r="AC29" s="13">
        <f>'TUSD BE'!$AC$29*'TUSD BF'!$AC$58</f>
        <v>0</v>
      </c>
      <c r="AD29" s="13">
        <f>SUM($AC$29:$AC$29)</f>
        <v>0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BF'!$AH$58</f>
        <v>0</v>
      </c>
      <c r="AI29" s="13">
        <f>'TUSD BE'!$AI$29*'TUSD BF'!$AI$58</f>
        <v>0</v>
      </c>
      <c r="AJ29" s="13">
        <f ca="1">'TUSD BE'!$AJ$29*'TUSD BF'!$AJ$58</f>
        <v>0</v>
      </c>
      <c r="AK29" s="13">
        <f ca="1">'TUSD BE'!$AK$29*'TUSD BF'!$AK$58</f>
        <v>0</v>
      </c>
      <c r="AL29" s="13">
        <f ca="1">SUM($AH$29:$AK$29)</f>
        <v>0</v>
      </c>
      <c r="AM29" s="13">
        <f ca="1">SUMIF($L$4:$AL$4,"SUBTOTAL",$L$29:$AL$29)</f>
        <v>0</v>
      </c>
      <c r="AO29" s="26">
        <f ca="1">+'TUSD BE'!$T$29+'TUSD BE'!$AB$29+'TUSD BE'!$AD$29+'TUSD BE'!$AL$29</f>
        <v>750.01424370225914</v>
      </c>
      <c r="AP29" s="26">
        <f ca="1">+'TUSD BE'!$T$29+'TUSD BE'!$AB$29+'TUSD BE'!$AD$29+'TUSD BE'!$AL$29</f>
        <v>750.01424370225914</v>
      </c>
    </row>
    <row r="30" spans="1:42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>
        <f>'TUSD BE'!$L$30*'TUSD BF'!$L$58</f>
        <v>0</v>
      </c>
      <c r="M30" s="13">
        <f>'TUSD BE'!$M$30*'TUSD BF'!$M$58</f>
        <v>0</v>
      </c>
      <c r="N30" s="13">
        <f ca="1">'TUSD BE'!$N$30*'TUSD BF'!$N$58</f>
        <v>0</v>
      </c>
      <c r="O30" s="13">
        <f>'TUSD BE'!$O$30*'TUSD BF'!$O$58</f>
        <v>0</v>
      </c>
      <c r="P30" s="13">
        <f>'TUSD BE'!$P$30*'TUSD BF'!$P$58</f>
        <v>0</v>
      </c>
      <c r="Q30" s="13">
        <f>'TUSD BE'!$Q$30*'TUSD BF'!$Q$58</f>
        <v>0</v>
      </c>
      <c r="R30" s="13">
        <f>'TUSD BE'!$R$30*'TUSD BF'!$R$58</f>
        <v>0</v>
      </c>
      <c r="S30" s="13">
        <f>'TUSD BE'!$R$30*'TUSD BF'!$S$58</f>
        <v>0</v>
      </c>
      <c r="T30" s="13">
        <f ca="1">SUM($L$30:$S$30)</f>
        <v>0</v>
      </c>
      <c r="U30" s="13">
        <f>'TUSD BE'!$U$30*'TUSD BF'!$U$58</f>
        <v>0</v>
      </c>
      <c r="V30" s="13">
        <f>'TUSD BE'!$V$30*'TUSD BF'!$V$58</f>
        <v>0</v>
      </c>
      <c r="W30" s="13">
        <f>'TUSD BE'!$W$30*'TUSD BF'!$W$58</f>
        <v>0</v>
      </c>
      <c r="X30" s="13">
        <f>'TUSD BE'!$X$30*'TUSD BF'!$X$58</f>
        <v>0</v>
      </c>
      <c r="Y30" s="13">
        <f>'TUSD BE'!$Y$30*'TUSD BF'!$Y$58</f>
        <v>0</v>
      </c>
      <c r="Z30" s="13">
        <f>'TUSD BE'!$Z$30*'TUSD BF'!$Z$58</f>
        <v>0</v>
      </c>
      <c r="AA30" s="13">
        <f>'TUSD BE'!$AA$30*'TUSD BF'!$AA$58</f>
        <v>0</v>
      </c>
      <c r="AB30" s="13">
        <f>SUM($U$30:$AA$30)</f>
        <v>0</v>
      </c>
      <c r="AC30" s="13">
        <f>'TUSD BE'!$AC$30*'TUSD BF'!$AC$58</f>
        <v>0</v>
      </c>
      <c r="AD30" s="13">
        <f>SUM($AC$30:$AC$30)</f>
        <v>0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BF'!$AH$58</f>
        <v>0</v>
      </c>
      <c r="AI30" s="13">
        <f>'TUSD BE'!$AI$30*'TUSD BF'!$AI$58</f>
        <v>0</v>
      </c>
      <c r="AJ30" s="13">
        <f ca="1">'TUSD BE'!$AJ$30*'TUSD BF'!$AJ$58</f>
        <v>0</v>
      </c>
      <c r="AK30" s="13">
        <f ca="1">'TUSD BE'!$AK$30*'TUSD BF'!$AK$58</f>
        <v>0</v>
      </c>
      <c r="AL30" s="13">
        <f ca="1">SUM($AH$30:$AK$30)</f>
        <v>0</v>
      </c>
      <c r="AM30" s="13">
        <f ca="1">SUMIF($L$4:$AL$4,"SUBTOTAL",$L$30:$AL$30)</f>
        <v>0</v>
      </c>
      <c r="AO30" s="26">
        <f ca="1">+'TUSD BE'!$T$30+'TUSD BE'!$AB$30+'TUSD BE'!$AD$30+'TUSD BE'!$AL$30</f>
        <v>2589.428055456719</v>
      </c>
      <c r="AP30" s="26">
        <f ca="1">+'TUSD BE'!$T$30+'TUSD BE'!$AB$30+'TUSD BE'!$AD$30+'TUSD BE'!$AL$30</f>
        <v>2589.428055456719</v>
      </c>
    </row>
    <row r="31" spans="1:42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>
        <f>'TUSD BE'!$L$31*'TUSD BF'!$L$58</f>
        <v>0</v>
      </c>
      <c r="M31" s="13">
        <f>'TUSD BE'!$M$31*'TUSD BF'!$M$58</f>
        <v>0</v>
      </c>
      <c r="N31" s="13">
        <f ca="1">'TUSD BE'!$N$31*'TUSD BF'!$N$58</f>
        <v>0</v>
      </c>
      <c r="O31" s="13">
        <f>'TUSD BE'!$O$31*'TUSD BF'!$O$58</f>
        <v>0</v>
      </c>
      <c r="P31" s="13">
        <f>'TUSD BE'!$P$31*'TUSD BF'!$P$58</f>
        <v>0</v>
      </c>
      <c r="Q31" s="13">
        <f>'TUSD BE'!$Q$31*'TUSD BF'!$Q$58</f>
        <v>0</v>
      </c>
      <c r="R31" s="13">
        <f>'TUSD BE'!$R$31*'TUSD BF'!$R$58</f>
        <v>0</v>
      </c>
      <c r="S31" s="13">
        <f>'TUSD BE'!$R$31*'TUSD BF'!$S$58</f>
        <v>0</v>
      </c>
      <c r="T31" s="13">
        <f ca="1">SUM($L$31:$S$31)</f>
        <v>0</v>
      </c>
      <c r="U31" s="13">
        <f>'TUSD BE'!$U$31*'TUSD BF'!$U$58</f>
        <v>0</v>
      </c>
      <c r="V31" s="13">
        <f>'TUSD BE'!$V$31*'TUSD BF'!$V$58</f>
        <v>0</v>
      </c>
      <c r="W31" s="13">
        <f>'TUSD BE'!$W$31*'TUSD BF'!$W$58</f>
        <v>0</v>
      </c>
      <c r="X31" s="13">
        <f>'TUSD BE'!$X$31*'TUSD BF'!$X$58</f>
        <v>0</v>
      </c>
      <c r="Y31" s="13">
        <f>'TUSD BE'!$Y$31*'TUSD BF'!$Y$58</f>
        <v>0</v>
      </c>
      <c r="Z31" s="13">
        <f>'TUSD BE'!$Z$31*'TUSD BF'!$Z$58</f>
        <v>0</v>
      </c>
      <c r="AA31" s="13">
        <f>'TUSD BE'!$AA$31*'TUSD BF'!$AA$58</f>
        <v>0</v>
      </c>
      <c r="AB31" s="13">
        <f>SUM($U$31:$AA$31)</f>
        <v>0</v>
      </c>
      <c r="AC31" s="13">
        <f>'TUSD BE'!$AC$31*'TUSD BF'!$AC$58</f>
        <v>0</v>
      </c>
      <c r="AD31" s="13">
        <f>SUM($AC$31:$AC$31)</f>
        <v>0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BF'!$AH$58</f>
        <v>0</v>
      </c>
      <c r="AI31" s="13">
        <f>'TUSD BE'!$AI$31*'TUSD BF'!$AI$58</f>
        <v>0</v>
      </c>
      <c r="AJ31" s="13">
        <f ca="1">'TUSD BE'!$AJ$31*'TUSD BF'!$AJ$58</f>
        <v>0</v>
      </c>
      <c r="AK31" s="13">
        <f ca="1">'TUSD BE'!$AK$31*'TUSD BF'!$AK$58</f>
        <v>0</v>
      </c>
      <c r="AL31" s="13">
        <f ca="1">SUM($AH$31:$AK$31)</f>
        <v>0</v>
      </c>
      <c r="AM31" s="13">
        <f ca="1">SUMIF($L$4:$AL$4,"SUBTOTAL",$L$31:$AL$31)</f>
        <v>0</v>
      </c>
      <c r="AO31" s="26">
        <f ca="1">+'TUSD BE'!$T$31+'TUSD BE'!$AB$31+'TUSD BE'!$AD$31+'TUSD BE'!$AL$31</f>
        <v>1606.5673975382379</v>
      </c>
      <c r="AP31" s="26">
        <f ca="1">+'TUSD BE'!$T$31+'TUSD BE'!$AB$31+'TUSD BE'!$AD$31+'TUSD BE'!$AL$31</f>
        <v>1606.5673975382379</v>
      </c>
    </row>
    <row r="32" spans="1:42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>
        <f>'TUSD BE'!$L$32*'TUSD BF'!$L$58</f>
        <v>0</v>
      </c>
      <c r="M32" s="13">
        <f>'TUSD BE'!$M$32*'TUSD BF'!$M$58</f>
        <v>0</v>
      </c>
      <c r="N32" s="13">
        <f ca="1">'TUSD BE'!$N$32*'TUSD BF'!$N$58</f>
        <v>0</v>
      </c>
      <c r="O32" s="13">
        <f>'TUSD BE'!$O$32*'TUSD BF'!$O$58</f>
        <v>0</v>
      </c>
      <c r="P32" s="13">
        <f>'TUSD BE'!$P$32*'TUSD BF'!$P$58</f>
        <v>0</v>
      </c>
      <c r="Q32" s="13">
        <f>'TUSD BE'!$Q$32*'TUSD BF'!$Q$58</f>
        <v>0</v>
      </c>
      <c r="R32" s="13">
        <f>'TUSD BE'!$R$32*'TUSD BF'!$R$58</f>
        <v>0</v>
      </c>
      <c r="S32" s="13">
        <f>'TUSD BE'!$R$32*'TUSD BF'!$S$58</f>
        <v>0</v>
      </c>
      <c r="T32" s="13">
        <f ca="1">SUM($L$32:$S$32)</f>
        <v>0</v>
      </c>
      <c r="U32" s="13">
        <f>'TUSD BE'!$U$32*'TUSD BF'!$U$58</f>
        <v>0</v>
      </c>
      <c r="V32" s="13">
        <f>'TUSD BE'!$V$32*'TUSD BF'!$V$58</f>
        <v>0</v>
      </c>
      <c r="W32" s="13">
        <f>'TUSD BE'!$W$32*'TUSD BF'!$W$58</f>
        <v>0</v>
      </c>
      <c r="X32" s="13">
        <f>'TUSD BE'!$X$32*'TUSD BF'!$X$58</f>
        <v>0</v>
      </c>
      <c r="Y32" s="13">
        <f>'TUSD BE'!$Y$32*'TUSD BF'!$Y$58</f>
        <v>0</v>
      </c>
      <c r="Z32" s="13">
        <f>'TUSD BE'!$Z$32*'TUSD BF'!$Z$58</f>
        <v>0</v>
      </c>
      <c r="AA32" s="13">
        <f>'TUSD BE'!$AA$32*'TUSD BF'!$AA$58</f>
        <v>0</v>
      </c>
      <c r="AB32" s="13">
        <f>SUM($U$32:$AA$32)</f>
        <v>0</v>
      </c>
      <c r="AC32" s="13">
        <f>'TUSD BE'!$AC$32*'TUSD BF'!$AC$58</f>
        <v>0</v>
      </c>
      <c r="AD32" s="13">
        <f>SUM($AC$32:$AC$32)</f>
        <v>0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BF'!$AH$58</f>
        <v>0</v>
      </c>
      <c r="AI32" s="13">
        <f>'TUSD BE'!$AI$32*'TUSD BF'!$AI$58</f>
        <v>0</v>
      </c>
      <c r="AJ32" s="13">
        <f ca="1">'TUSD BE'!$AJ$32*'TUSD BF'!$AJ$58</f>
        <v>0</v>
      </c>
      <c r="AK32" s="13">
        <f ca="1">'TUSD BE'!$AK$32*'TUSD BF'!$AK$58</f>
        <v>0</v>
      </c>
      <c r="AL32" s="13">
        <f ca="1">SUM($AH$32:$AK$32)</f>
        <v>0</v>
      </c>
      <c r="AM32" s="13">
        <f ca="1">SUMIF($L$4:$AL$4,"SUBTOTAL",$L$32:$AL$32)</f>
        <v>0</v>
      </c>
      <c r="AO32" s="26">
        <f ca="1">+'TUSD BE'!$T$32+'TUSD BE'!$AB$32+'TUSD BE'!$AD$32+'TUSD BE'!$AL$32</f>
        <v>623.70743660734729</v>
      </c>
      <c r="AP32" s="26">
        <f ca="1">+'TUSD BE'!$T$32+'TUSD BE'!$AB$32+'TUSD BE'!$AD$32+'TUSD BE'!$AL$32</f>
        <v>623.70743660734729</v>
      </c>
    </row>
    <row r="33" spans="1:42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>
        <f>'TUSD BE'!$L$33*'TUSD BF'!$L$58</f>
        <v>0</v>
      </c>
      <c r="M33" s="13">
        <f>'TUSD BE'!$M$33*'TUSD BF'!$M$58</f>
        <v>0</v>
      </c>
      <c r="N33" s="13">
        <f ca="1">'TUSD BE'!$N$33*'TUSD BF'!$N$58</f>
        <v>0</v>
      </c>
      <c r="O33" s="13">
        <f>'TUSD BE'!$O$33*'TUSD BF'!$O$58</f>
        <v>0</v>
      </c>
      <c r="P33" s="13">
        <f>'TUSD BE'!$P$33*'TUSD BF'!$P$58</f>
        <v>0</v>
      </c>
      <c r="Q33" s="13">
        <f>'TUSD BE'!$Q$33*'TUSD BF'!$Q$58</f>
        <v>0</v>
      </c>
      <c r="R33" s="13">
        <f>'TUSD BE'!$R$33*'TUSD BF'!$R$58</f>
        <v>0</v>
      </c>
      <c r="S33" s="13">
        <f>'TUSD BE'!$R$33*'TUSD BF'!$S$58</f>
        <v>0</v>
      </c>
      <c r="T33" s="13">
        <f ca="1">SUM($L$33:$S$33)</f>
        <v>0</v>
      </c>
      <c r="U33" s="13">
        <f>'TUSD BE'!$U$33*'TUSD BF'!$U$58</f>
        <v>0</v>
      </c>
      <c r="V33" s="13">
        <f>'TUSD BE'!$V$33*'TUSD BF'!$V$58</f>
        <v>0</v>
      </c>
      <c r="W33" s="13">
        <f>'TUSD BE'!$W$33*'TUSD BF'!$W$58</f>
        <v>0</v>
      </c>
      <c r="X33" s="13">
        <f>'TUSD BE'!$X$33*'TUSD BF'!$X$58</f>
        <v>0</v>
      </c>
      <c r="Y33" s="13">
        <f>'TUSD BE'!$Y$33*'TUSD BF'!$Y$58</f>
        <v>0</v>
      </c>
      <c r="Z33" s="13">
        <f>'TUSD BE'!$Z$33*'TUSD BF'!$Z$58</f>
        <v>0</v>
      </c>
      <c r="AA33" s="13">
        <f>'TUSD BE'!$AA$33*'TUSD BF'!$AA$58</f>
        <v>0</v>
      </c>
      <c r="AB33" s="13">
        <f>SUM($U$33:$AA$33)</f>
        <v>0</v>
      </c>
      <c r="AC33" s="13">
        <f>'TUSD BE'!$AC$33*'TUSD BF'!$AC$58</f>
        <v>0</v>
      </c>
      <c r="AD33" s="13">
        <f>SUM($AC$33:$AC$33)</f>
        <v>0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BF'!$AH$58</f>
        <v>0</v>
      </c>
      <c r="AI33" s="13">
        <f>'TUSD BE'!$AI$33*'TUSD BF'!$AI$58</f>
        <v>0</v>
      </c>
      <c r="AJ33" s="13">
        <f ca="1">'TUSD BE'!$AJ$33*'TUSD BF'!$AJ$58</f>
        <v>0</v>
      </c>
      <c r="AK33" s="13">
        <f ca="1">'TUSD BE'!$AK$33*'TUSD BF'!$AK$58</f>
        <v>0</v>
      </c>
      <c r="AL33" s="13">
        <f ca="1">SUM($AH$33:$AK$33)</f>
        <v>0</v>
      </c>
      <c r="AM33" s="13">
        <f ca="1">SUMIF($L$4:$AL$4,"SUBTOTAL",$L$33:$AL$33)</f>
        <v>0</v>
      </c>
      <c r="AO33" s="26">
        <f ca="1">+'TUSD BE'!$T$33+'TUSD BE'!$AB$33+'TUSD BE'!$AD$33+'TUSD BE'!$AL$33</f>
        <v>854.9838904979589</v>
      </c>
      <c r="AP33" s="26">
        <f ca="1">+'TUSD BE'!$T$33+'TUSD BE'!$AB$33+'TUSD BE'!$AD$33+'TUSD BE'!$AL$33</f>
        <v>854.9838904979589</v>
      </c>
    </row>
    <row r="34" spans="1:42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>
        <f>'TUSD BE'!$L$34*'TUSD BF'!$L$58</f>
        <v>0</v>
      </c>
      <c r="M34" s="13">
        <f>'TUSD BE'!$M$34*'TUSD BF'!$M$58</f>
        <v>0</v>
      </c>
      <c r="N34" s="13">
        <f ca="1">'TUSD BE'!$N$34*'TUSD BF'!$N$58</f>
        <v>0</v>
      </c>
      <c r="O34" s="13">
        <f>'TUSD BE'!$O$34*'TUSD BF'!$O$58</f>
        <v>0</v>
      </c>
      <c r="P34" s="13">
        <f>'TUSD BE'!$P$34*'TUSD BF'!$P$58</f>
        <v>0</v>
      </c>
      <c r="Q34" s="13">
        <f>'TUSD BE'!$Q$34*'TUSD BF'!$Q$58</f>
        <v>0</v>
      </c>
      <c r="R34" s="13">
        <f>'TUSD BE'!$R$34*'TUSD BF'!$R$58</f>
        <v>0</v>
      </c>
      <c r="S34" s="13">
        <f>'TUSD BE'!$R$34*'TUSD BF'!$S$58</f>
        <v>0</v>
      </c>
      <c r="T34" s="13">
        <f ca="1">SUM($L$34:$S$34)</f>
        <v>0</v>
      </c>
      <c r="U34" s="13">
        <f>'TUSD BE'!$U$34*'TUSD BF'!$U$58</f>
        <v>0</v>
      </c>
      <c r="V34" s="13">
        <f>'TUSD BE'!$V$34*'TUSD BF'!$V$58</f>
        <v>0</v>
      </c>
      <c r="W34" s="13">
        <f>'TUSD BE'!$W$34*'TUSD BF'!$W$58</f>
        <v>0</v>
      </c>
      <c r="X34" s="13">
        <f>'TUSD BE'!$X$34*'TUSD BF'!$X$58</f>
        <v>0</v>
      </c>
      <c r="Y34" s="13">
        <f>'TUSD BE'!$Y$34*'TUSD BF'!$Y$58</f>
        <v>0</v>
      </c>
      <c r="Z34" s="13">
        <f>'TUSD BE'!$Z$34*'TUSD BF'!$Z$58</f>
        <v>0</v>
      </c>
      <c r="AA34" s="13">
        <f>'TUSD BE'!$AA$34*'TUSD BF'!$AA$58</f>
        <v>0</v>
      </c>
      <c r="AB34" s="13">
        <f>SUM($U$34:$AA$34)</f>
        <v>0</v>
      </c>
      <c r="AC34" s="13">
        <f>'TUSD BE'!$AC$34*'TUSD BF'!$AC$58</f>
        <v>0</v>
      </c>
      <c r="AD34" s="13">
        <f>SUM($AC$34:$AC$34)</f>
        <v>0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BF'!$AH$58</f>
        <v>0</v>
      </c>
      <c r="AI34" s="13">
        <f>'TUSD BE'!$AI$34*'TUSD BF'!$AI$58</f>
        <v>0</v>
      </c>
      <c r="AJ34" s="13">
        <f ca="1">'TUSD BE'!$AJ$34*'TUSD BF'!$AJ$58</f>
        <v>0</v>
      </c>
      <c r="AK34" s="13">
        <f ca="1">'TUSD BE'!$AK$34*'TUSD BF'!$AK$58</f>
        <v>0</v>
      </c>
      <c r="AL34" s="13">
        <f ca="1">SUM($AH$34:$AK$34)</f>
        <v>0</v>
      </c>
      <c r="AM34" s="13">
        <f ca="1">SUMIF($L$4:$AL$4,"SUBTOTAL",$L$34:$AL$34)</f>
        <v>0</v>
      </c>
      <c r="AO34" s="26">
        <f ca="1">+'TUSD BE'!$T$34+'TUSD BE'!$AB$34+'TUSD BE'!$AD$34+'TUSD BE'!$AL$34</f>
        <v>2589.428055456719</v>
      </c>
      <c r="AP34" s="26">
        <f ca="1">+'TUSD BE'!$T$34+'TUSD BE'!$AB$34+'TUSD BE'!$AD$34+'TUSD BE'!$AL$34</f>
        <v>2589.428055456719</v>
      </c>
    </row>
    <row r="35" spans="1:42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>
        <f>'TUSD BE'!$L$35*'TUSD BF'!$L$58</f>
        <v>0</v>
      </c>
      <c r="M35" s="13">
        <f>'TUSD BE'!$M$35*'TUSD BF'!$M$58</f>
        <v>0</v>
      </c>
      <c r="N35" s="13">
        <f ca="1">'TUSD BE'!$N$35*'TUSD BF'!$N$58</f>
        <v>0</v>
      </c>
      <c r="O35" s="13">
        <f>'TUSD BE'!$O$35*'TUSD BF'!$O$58</f>
        <v>0</v>
      </c>
      <c r="P35" s="13">
        <f>'TUSD BE'!$P$35*'TUSD BF'!$P$58</f>
        <v>0</v>
      </c>
      <c r="Q35" s="13">
        <f>'TUSD BE'!$Q$35*'TUSD BF'!$Q$58</f>
        <v>0</v>
      </c>
      <c r="R35" s="13">
        <f>'TUSD BE'!$R$35*'TUSD BF'!$R$58</f>
        <v>0</v>
      </c>
      <c r="S35" s="13">
        <f>'TUSD BE'!$R$35*'TUSD BF'!$S$58</f>
        <v>0</v>
      </c>
      <c r="T35" s="13">
        <f ca="1">SUM($L$35:$S$35)</f>
        <v>0</v>
      </c>
      <c r="U35" s="13">
        <f>'TUSD BE'!$U$35*'TUSD BF'!$U$58</f>
        <v>0</v>
      </c>
      <c r="V35" s="13">
        <f>'TUSD BE'!$V$35*'TUSD BF'!$V$58</f>
        <v>0</v>
      </c>
      <c r="W35" s="13">
        <f>'TUSD BE'!$W$35*'TUSD BF'!$W$58</f>
        <v>0</v>
      </c>
      <c r="X35" s="13">
        <f>'TUSD BE'!$X$35*'TUSD BF'!$X$58</f>
        <v>0</v>
      </c>
      <c r="Y35" s="13">
        <f>'TUSD BE'!$Y$35*'TUSD BF'!$Y$58</f>
        <v>0</v>
      </c>
      <c r="Z35" s="13">
        <f>'TUSD BE'!$Z$35*'TUSD BF'!$Z$58</f>
        <v>0</v>
      </c>
      <c r="AA35" s="13">
        <f>'TUSD BE'!$AA$35*'TUSD BF'!$AA$58</f>
        <v>0</v>
      </c>
      <c r="AB35" s="13">
        <f>SUM($U$35:$AA$35)</f>
        <v>0</v>
      </c>
      <c r="AC35" s="13">
        <f>'TUSD BE'!$AC$35*'TUSD BF'!$AC$58</f>
        <v>0</v>
      </c>
      <c r="AD35" s="13">
        <f>SUM($AC$35:$AC$35)</f>
        <v>0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BF'!$AH$58</f>
        <v>0</v>
      </c>
      <c r="AI35" s="13">
        <f>'TUSD BE'!$AI$35*'TUSD BF'!$AI$58</f>
        <v>0</v>
      </c>
      <c r="AJ35" s="13">
        <f ca="1">'TUSD BE'!$AJ$35*'TUSD BF'!$AJ$58</f>
        <v>0</v>
      </c>
      <c r="AK35" s="13">
        <f ca="1">'TUSD BE'!$AK$35*'TUSD BF'!$AK$58</f>
        <v>0</v>
      </c>
      <c r="AL35" s="13">
        <f ca="1">SUM($AH$35:$AK$35)</f>
        <v>0</v>
      </c>
      <c r="AM35" s="13">
        <f ca="1">SUMIF($L$4:$AL$4,"SUBTOTAL",$L$35:$AL$35)</f>
        <v>0</v>
      </c>
      <c r="AO35" s="26">
        <f ca="1">+'TUSD BE'!$T$35+'TUSD BE'!$AB$35+'TUSD BE'!$AD$35+'TUSD BE'!$AL$35</f>
        <v>1606.5673975382379</v>
      </c>
      <c r="AP35" s="26">
        <f ca="1">+'TUSD BE'!$T$35+'TUSD BE'!$AB$35+'TUSD BE'!$AD$35+'TUSD BE'!$AL$35</f>
        <v>1606.5673975382379</v>
      </c>
    </row>
    <row r="36" spans="1:42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>
        <f>'TUSD BE'!$L$36*'TUSD BF'!$L$58</f>
        <v>0</v>
      </c>
      <c r="M36" s="13">
        <f>'TUSD BE'!$M$36*'TUSD BF'!$M$58</f>
        <v>0</v>
      </c>
      <c r="N36" s="13">
        <f ca="1">'TUSD BE'!$N$36*'TUSD BF'!$N$58</f>
        <v>0</v>
      </c>
      <c r="O36" s="13">
        <f>'TUSD BE'!$O$36*'TUSD BF'!$O$58</f>
        <v>0</v>
      </c>
      <c r="P36" s="13">
        <f>'TUSD BE'!$P$36*'TUSD BF'!$P$58</f>
        <v>0</v>
      </c>
      <c r="Q36" s="13">
        <f>'TUSD BE'!$Q$36*'TUSD BF'!$Q$58</f>
        <v>0</v>
      </c>
      <c r="R36" s="13">
        <f>'TUSD BE'!$R$36*'TUSD BF'!$R$58</f>
        <v>0</v>
      </c>
      <c r="S36" s="13">
        <f>'TUSD BE'!$R$36*'TUSD BF'!$S$58</f>
        <v>0</v>
      </c>
      <c r="T36" s="13">
        <f ca="1">SUM($L$36:$S$36)</f>
        <v>0</v>
      </c>
      <c r="U36" s="13">
        <f>'TUSD BE'!$U$36*'TUSD BF'!$U$58</f>
        <v>0</v>
      </c>
      <c r="V36" s="13">
        <f>'TUSD BE'!$V$36*'TUSD BF'!$V$58</f>
        <v>0</v>
      </c>
      <c r="W36" s="13">
        <f>'TUSD BE'!$W$36*'TUSD BF'!$W$58</f>
        <v>0</v>
      </c>
      <c r="X36" s="13">
        <f>'TUSD BE'!$X$36*'TUSD BF'!$X$58</f>
        <v>0</v>
      </c>
      <c r="Y36" s="13">
        <f>'TUSD BE'!$Y$36*'TUSD BF'!$Y$58</f>
        <v>0</v>
      </c>
      <c r="Z36" s="13">
        <f>'TUSD BE'!$Z$36*'TUSD BF'!$Z$58</f>
        <v>0</v>
      </c>
      <c r="AA36" s="13">
        <f>'TUSD BE'!$AA$36*'TUSD BF'!$AA$58</f>
        <v>0</v>
      </c>
      <c r="AB36" s="13">
        <f>SUM($U$36:$AA$36)</f>
        <v>0</v>
      </c>
      <c r="AC36" s="13">
        <f>'TUSD BE'!$AC$36*'TUSD BF'!$AC$58</f>
        <v>0</v>
      </c>
      <c r="AD36" s="13">
        <f>SUM($AC$36:$AC$36)</f>
        <v>0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BF'!$AH$58</f>
        <v>0</v>
      </c>
      <c r="AI36" s="13">
        <f>'TUSD BE'!$AI$36*'TUSD BF'!$AI$58</f>
        <v>0</v>
      </c>
      <c r="AJ36" s="13">
        <f ca="1">'TUSD BE'!$AJ$36*'TUSD BF'!$AJ$58</f>
        <v>0</v>
      </c>
      <c r="AK36" s="13">
        <f ca="1">'TUSD BE'!$AK$36*'TUSD BF'!$AK$58</f>
        <v>0</v>
      </c>
      <c r="AL36" s="13">
        <f ca="1">SUM($AH$36:$AK$36)</f>
        <v>0</v>
      </c>
      <c r="AM36" s="13">
        <f ca="1">SUMIF($L$4:$AL$4,"SUBTOTAL",$L$36:$AL$36)</f>
        <v>0</v>
      </c>
      <c r="AO36" s="26">
        <f ca="1">+'TUSD BE'!$T$36+'TUSD BE'!$AB$36+'TUSD BE'!$AD$36+'TUSD BE'!$AL$36</f>
        <v>623.70743660734729</v>
      </c>
      <c r="AP36" s="26">
        <f ca="1">+'TUSD BE'!$T$36+'TUSD BE'!$AB$36+'TUSD BE'!$AD$36+'TUSD BE'!$AL$36</f>
        <v>623.70743660734729</v>
      </c>
    </row>
    <row r="37" spans="1:42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>
        <f>'TUSD BE'!$L$37*'TUSD BF'!$L$58</f>
        <v>0</v>
      </c>
      <c r="M37" s="13">
        <f>'TUSD BE'!$M$37*'TUSD BF'!$M$58</f>
        <v>0</v>
      </c>
      <c r="N37" s="13">
        <f ca="1">'TUSD BE'!$N$37*'TUSD BF'!$N$58</f>
        <v>0</v>
      </c>
      <c r="O37" s="13">
        <f>'TUSD BE'!$O$37*'TUSD BF'!$O$58</f>
        <v>0</v>
      </c>
      <c r="P37" s="13">
        <f>'TUSD BE'!$P$37*'TUSD BF'!$P$58</f>
        <v>0</v>
      </c>
      <c r="Q37" s="13">
        <f>'TUSD BE'!$Q$37*'TUSD BF'!$Q$58</f>
        <v>0</v>
      </c>
      <c r="R37" s="13">
        <f>'TUSD BE'!$R$37*'TUSD BF'!$R$58</f>
        <v>0</v>
      </c>
      <c r="S37" s="13">
        <f>'TUSD BE'!$R$37*'TUSD BF'!$S$58</f>
        <v>0</v>
      </c>
      <c r="T37" s="13">
        <f ca="1">SUM($L$37:$S$37)</f>
        <v>0</v>
      </c>
      <c r="U37" s="13">
        <f>'TUSD BE'!$U$37*'TUSD BF'!$U$58</f>
        <v>0</v>
      </c>
      <c r="V37" s="13">
        <f>'TUSD BE'!$V$37*'TUSD BF'!$V$58</f>
        <v>0</v>
      </c>
      <c r="W37" s="13">
        <f>'TUSD BE'!$W$37*'TUSD BF'!$W$58</f>
        <v>0</v>
      </c>
      <c r="X37" s="13">
        <f>'TUSD BE'!$X$37*'TUSD BF'!$X$58</f>
        <v>0</v>
      </c>
      <c r="Y37" s="13">
        <f>'TUSD BE'!$Y$37*'TUSD BF'!$Y$58</f>
        <v>0</v>
      </c>
      <c r="Z37" s="13">
        <f>'TUSD BE'!$Z$37*'TUSD BF'!$Z$58</f>
        <v>0</v>
      </c>
      <c r="AA37" s="13">
        <f>'TUSD BE'!$AA$37*'TUSD BF'!$AA$58</f>
        <v>0</v>
      </c>
      <c r="AB37" s="13">
        <f>SUM($U$37:$AA$37)</f>
        <v>0</v>
      </c>
      <c r="AC37" s="13">
        <f>'TUSD BE'!$AC$37*'TUSD BF'!$AC$58</f>
        <v>0</v>
      </c>
      <c r="AD37" s="13">
        <f>SUM($AC$37:$AC$37)</f>
        <v>0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BF'!$AH$58</f>
        <v>0</v>
      </c>
      <c r="AI37" s="13">
        <f>'TUSD BE'!$AI$37*'TUSD BF'!$AI$58</f>
        <v>0</v>
      </c>
      <c r="AJ37" s="13">
        <f ca="1">'TUSD BE'!$AJ$37*'TUSD BF'!$AJ$58</f>
        <v>0</v>
      </c>
      <c r="AK37" s="13">
        <f ca="1">'TUSD BE'!$AK$37*'TUSD BF'!$AK$58</f>
        <v>0</v>
      </c>
      <c r="AL37" s="13">
        <f ca="1">SUM($AH$37:$AK$37)</f>
        <v>0</v>
      </c>
      <c r="AM37" s="13">
        <f ca="1">SUMIF($L$4:$AL$4,"SUBTOTAL",$L$37:$AL$37)</f>
        <v>0</v>
      </c>
      <c r="AO37" s="26">
        <f ca="1">+'TUSD BE'!$T$37+'TUSD BE'!$AB$37+'TUSD BE'!$AD$37+'TUSD BE'!$AL$37</f>
        <v>854.9838904979589</v>
      </c>
      <c r="AP37" s="26">
        <f ca="1">+'TUSD BE'!$T$37+'TUSD BE'!$AB$37+'TUSD BE'!$AD$37+'TUSD BE'!$AL$37</f>
        <v>854.9838904979589</v>
      </c>
    </row>
    <row r="38" spans="1:42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>
        <f>'TUSD BE'!$L$38*'TUSD BF'!$L$58</f>
        <v>0</v>
      </c>
      <c r="M38" s="13">
        <f>'TUSD BE'!$M$38*'TUSD BF'!$M$58</f>
        <v>0</v>
      </c>
      <c r="N38" s="13">
        <f ca="1">'TUSD BE'!$N$38*'TUSD BF'!$N$58</f>
        <v>0</v>
      </c>
      <c r="O38" s="13">
        <f>'TUSD BE'!$O$38*'TUSD BF'!$O$58</f>
        <v>0</v>
      </c>
      <c r="P38" s="13">
        <f>'TUSD BE'!$P$38*'TUSD BF'!$P$58</f>
        <v>0</v>
      </c>
      <c r="Q38" s="13">
        <f>'TUSD BE'!$Q$38*'TUSD BF'!$Q$58</f>
        <v>0</v>
      </c>
      <c r="R38" s="13">
        <f>'TUSD BE'!$R$38*'TUSD BF'!$R$58</f>
        <v>0</v>
      </c>
      <c r="S38" s="13">
        <f>'TUSD BE'!$R$38*'TUSD BF'!$S$58</f>
        <v>0</v>
      </c>
      <c r="T38" s="13">
        <f ca="1">SUM($L$38:$S$38)</f>
        <v>0</v>
      </c>
      <c r="U38" s="13">
        <f>'TUSD BE'!$U$38*'TUSD BF'!$U$58</f>
        <v>0</v>
      </c>
      <c r="V38" s="13">
        <f>'TUSD BE'!$V$38*'TUSD BF'!$V$58</f>
        <v>0</v>
      </c>
      <c r="W38" s="13">
        <f>'TUSD BE'!$W$38*'TUSD BF'!$W$58</f>
        <v>0</v>
      </c>
      <c r="X38" s="13">
        <f>'TUSD BE'!$X$38*'TUSD BF'!$X$58</f>
        <v>0</v>
      </c>
      <c r="Y38" s="13">
        <f>'TUSD BE'!$Y$38*'TUSD BF'!$Y$58</f>
        <v>0</v>
      </c>
      <c r="Z38" s="13">
        <f>'TUSD BE'!$Z$38*'TUSD BF'!$Z$58</f>
        <v>0</v>
      </c>
      <c r="AA38" s="13">
        <f>'TUSD BE'!$AA$38*'TUSD BF'!$AA$58</f>
        <v>0</v>
      </c>
      <c r="AB38" s="13">
        <f>SUM($U$38:$AA$38)</f>
        <v>0</v>
      </c>
      <c r="AC38" s="13">
        <f>'TUSD BE'!$AC$38*'TUSD BF'!$AC$58</f>
        <v>0</v>
      </c>
      <c r="AD38" s="13">
        <f>SUM($AC$38:$AC$38)</f>
        <v>0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BF'!$AH$58</f>
        <v>0</v>
      </c>
      <c r="AI38" s="13">
        <f>'TUSD BE'!$AI$38*'TUSD BF'!$AI$58</f>
        <v>0</v>
      </c>
      <c r="AJ38" s="13">
        <f ca="1">'TUSD BE'!$AJ$38*'TUSD BF'!$AJ$58</f>
        <v>0</v>
      </c>
      <c r="AK38" s="13">
        <f ca="1">'TUSD BE'!$AK$38*'TUSD BF'!$AK$58</f>
        <v>0</v>
      </c>
      <c r="AL38" s="13">
        <f ca="1">SUM($AH$38:$AK$38)</f>
        <v>0</v>
      </c>
      <c r="AM38" s="13">
        <f ca="1">SUMIF($L$4:$AL$4,"SUBTOTAL",$L$38:$AL$38)</f>
        <v>0</v>
      </c>
      <c r="AO38" s="26">
        <f ca="1">+'TUSD BE'!$T$38+'TUSD BE'!$AB$38+'TUSD BE'!$AD$38+'TUSD BE'!$AL$38</f>
        <v>2589.428055456719</v>
      </c>
      <c r="AP38" s="26">
        <f ca="1">+'TUSD BE'!$T$38+'TUSD BE'!$AB$38+'TUSD BE'!$AD$38+'TUSD BE'!$AL$38</f>
        <v>2589.428055456719</v>
      </c>
    </row>
    <row r="39" spans="1:42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>
        <f>'TUSD BE'!$L$39*'TUSD BF'!$L$58</f>
        <v>0</v>
      </c>
      <c r="M39" s="13">
        <f>'TUSD BE'!$M$39*'TUSD BF'!$M$58</f>
        <v>0</v>
      </c>
      <c r="N39" s="13">
        <f ca="1">'TUSD BE'!$N$39*'TUSD BF'!$N$58</f>
        <v>0</v>
      </c>
      <c r="O39" s="13">
        <f>'TUSD BE'!$O$39*'TUSD BF'!$O$58</f>
        <v>0</v>
      </c>
      <c r="P39" s="13">
        <f>'TUSD BE'!$P$39*'TUSD BF'!$P$58</f>
        <v>0</v>
      </c>
      <c r="Q39" s="13">
        <f>'TUSD BE'!$Q$39*'TUSD BF'!$Q$58</f>
        <v>0</v>
      </c>
      <c r="R39" s="13">
        <f>'TUSD BE'!$R$39*'TUSD BF'!$R$58</f>
        <v>0</v>
      </c>
      <c r="S39" s="13">
        <f>'TUSD BE'!$R$39*'TUSD BF'!$S$58</f>
        <v>0</v>
      </c>
      <c r="T39" s="13">
        <f ca="1">SUM($L$39:$S$39)</f>
        <v>0</v>
      </c>
      <c r="U39" s="13">
        <f>'TUSD BE'!$U$39*'TUSD BF'!$U$58</f>
        <v>0</v>
      </c>
      <c r="V39" s="13">
        <f>'TUSD BE'!$V$39*'TUSD BF'!$V$58</f>
        <v>0</v>
      </c>
      <c r="W39" s="13">
        <f>'TUSD BE'!$W$39*'TUSD BF'!$W$58</f>
        <v>0</v>
      </c>
      <c r="X39" s="13">
        <f>'TUSD BE'!$X$39*'TUSD BF'!$X$58</f>
        <v>0</v>
      </c>
      <c r="Y39" s="13">
        <f>'TUSD BE'!$Y$39*'TUSD BF'!$Y$58</f>
        <v>0</v>
      </c>
      <c r="Z39" s="13">
        <f>'TUSD BE'!$Z$39*'TUSD BF'!$Z$58</f>
        <v>0</v>
      </c>
      <c r="AA39" s="13">
        <f>'TUSD BE'!$AA$39*'TUSD BF'!$AA$58</f>
        <v>0</v>
      </c>
      <c r="AB39" s="13">
        <f>SUM($U$39:$AA$39)</f>
        <v>0</v>
      </c>
      <c r="AC39" s="13">
        <f>'TUSD BE'!$AC$39*'TUSD BF'!$AC$58</f>
        <v>0</v>
      </c>
      <c r="AD39" s="13">
        <f>SUM($AC$39:$AC$39)</f>
        <v>0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BF'!$AH$58</f>
        <v>0</v>
      </c>
      <c r="AI39" s="13">
        <f>'TUSD BE'!$AI$39*'TUSD BF'!$AI$58</f>
        <v>0</v>
      </c>
      <c r="AJ39" s="13">
        <f ca="1">'TUSD BE'!$AJ$39*'TUSD BF'!$AJ$58</f>
        <v>0</v>
      </c>
      <c r="AK39" s="13">
        <f ca="1">'TUSD BE'!$AK$39*'TUSD BF'!$AK$58</f>
        <v>0</v>
      </c>
      <c r="AL39" s="13">
        <f ca="1">SUM($AH$39:$AK$39)</f>
        <v>0</v>
      </c>
      <c r="AM39" s="13">
        <f ca="1">SUMIF($L$4:$AL$4,"SUBTOTAL",$L$39:$AL$39)</f>
        <v>0</v>
      </c>
      <c r="AO39" s="26">
        <f ca="1">+'TUSD BE'!$T$39+'TUSD BE'!$AB$39+'TUSD BE'!$AD$39+'TUSD BE'!$AL$39</f>
        <v>1606.5673975382379</v>
      </c>
      <c r="AP39" s="26">
        <f ca="1">+'TUSD BE'!$T$39+'TUSD BE'!$AB$39+'TUSD BE'!$AD$39+'TUSD BE'!$AL$39</f>
        <v>1606.5673975382379</v>
      </c>
    </row>
    <row r="40" spans="1:42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>
        <f>'TUSD BE'!$L$40*'TUSD BF'!$L$58</f>
        <v>0</v>
      </c>
      <c r="M40" s="13">
        <f>'TUSD BE'!$M$40*'TUSD BF'!$M$58</f>
        <v>0</v>
      </c>
      <c r="N40" s="13">
        <f ca="1">'TUSD BE'!$N$40*'TUSD BF'!$N$58</f>
        <v>0</v>
      </c>
      <c r="O40" s="13">
        <f>'TUSD BE'!$O$40*'TUSD BF'!$O$58</f>
        <v>0</v>
      </c>
      <c r="P40" s="13">
        <f>'TUSD BE'!$P$40*'TUSD BF'!$P$58</f>
        <v>0</v>
      </c>
      <c r="Q40" s="13">
        <f>'TUSD BE'!$Q$40*'TUSD BF'!$Q$58</f>
        <v>0</v>
      </c>
      <c r="R40" s="13">
        <f>'TUSD BE'!$R$40*'TUSD BF'!$R$58</f>
        <v>0</v>
      </c>
      <c r="S40" s="13">
        <f>'TUSD BE'!$R$40*'TUSD BF'!$S$58</f>
        <v>0</v>
      </c>
      <c r="T40" s="13">
        <f ca="1">SUM($L$40:$S$40)</f>
        <v>0</v>
      </c>
      <c r="U40" s="13">
        <f>'TUSD BE'!$U$40*'TUSD BF'!$U$58</f>
        <v>0</v>
      </c>
      <c r="V40" s="13">
        <f>'TUSD BE'!$V$40*'TUSD BF'!$V$58</f>
        <v>0</v>
      </c>
      <c r="W40" s="13">
        <f>'TUSD BE'!$W$40*'TUSD BF'!$W$58</f>
        <v>0</v>
      </c>
      <c r="X40" s="13">
        <f>'TUSD BE'!$X$40*'TUSD BF'!$X$58</f>
        <v>0</v>
      </c>
      <c r="Y40" s="13">
        <f>'TUSD BE'!$Y$40*'TUSD BF'!$Y$58</f>
        <v>0</v>
      </c>
      <c r="Z40" s="13">
        <f>'TUSD BE'!$Z$40*'TUSD BF'!$Z$58</f>
        <v>0</v>
      </c>
      <c r="AA40" s="13">
        <f>'TUSD BE'!$AA$40*'TUSD BF'!$AA$58</f>
        <v>0</v>
      </c>
      <c r="AB40" s="13">
        <f>SUM($U$40:$AA$40)</f>
        <v>0</v>
      </c>
      <c r="AC40" s="13">
        <f>'TUSD BE'!$AC$40*'TUSD BF'!$AC$58</f>
        <v>0</v>
      </c>
      <c r="AD40" s="13">
        <f>SUM($AC$40:$AC$40)</f>
        <v>0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BF'!$AH$58</f>
        <v>0</v>
      </c>
      <c r="AI40" s="13">
        <f>'TUSD BE'!$AI$40*'TUSD BF'!$AI$58</f>
        <v>0</v>
      </c>
      <c r="AJ40" s="13">
        <f ca="1">'TUSD BE'!$AJ$40*'TUSD BF'!$AJ$58</f>
        <v>0</v>
      </c>
      <c r="AK40" s="13">
        <f ca="1">'TUSD BE'!$AK$40*'TUSD BF'!$AK$58</f>
        <v>0</v>
      </c>
      <c r="AL40" s="13">
        <f ca="1">SUM($AH$40:$AK$40)</f>
        <v>0</v>
      </c>
      <c r="AM40" s="13">
        <f ca="1">SUMIF($L$4:$AL$4,"SUBTOTAL",$L$40:$AL$40)</f>
        <v>0</v>
      </c>
      <c r="AO40" s="26">
        <f ca="1">+'TUSD BE'!$T$40+'TUSD BE'!$AB$40+'TUSD BE'!$AD$40+'TUSD BE'!$AL$40</f>
        <v>623.70743660734729</v>
      </c>
      <c r="AP40" s="26">
        <f ca="1">+'TUSD BE'!$T$40+'TUSD BE'!$AB$40+'TUSD BE'!$AD$40+'TUSD BE'!$AL$40</f>
        <v>623.70743660734729</v>
      </c>
    </row>
    <row r="41" spans="1:42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>
        <f>'TUSD BE'!$L$41*'TUSD BF'!$L$58</f>
        <v>0</v>
      </c>
      <c r="M41" s="13">
        <f>'TUSD BE'!$M$41*'TUSD BF'!$M$58</f>
        <v>0</v>
      </c>
      <c r="N41" s="13">
        <f ca="1">'TUSD BE'!$N$41*'TUSD BF'!$N$58</f>
        <v>0</v>
      </c>
      <c r="O41" s="13">
        <f>'TUSD BE'!$O$41*'TUSD BF'!$O$58</f>
        <v>0</v>
      </c>
      <c r="P41" s="13">
        <f>'TUSD BE'!$P$41*'TUSD BF'!$P$58</f>
        <v>0</v>
      </c>
      <c r="Q41" s="13">
        <f>'TUSD BE'!$Q$41*'TUSD BF'!$Q$58</f>
        <v>0</v>
      </c>
      <c r="R41" s="13">
        <f>'TUSD BE'!$R$41*'TUSD BF'!$R$58</f>
        <v>0</v>
      </c>
      <c r="S41" s="13">
        <f>'TUSD BE'!$R$41*'TUSD BF'!$S$58</f>
        <v>0</v>
      </c>
      <c r="T41" s="13">
        <f ca="1">SUM($L$41:$S$41)</f>
        <v>0</v>
      </c>
      <c r="U41" s="13">
        <f>'TUSD BE'!$U$41*'TUSD BF'!$U$58</f>
        <v>0</v>
      </c>
      <c r="V41" s="13">
        <f>'TUSD BE'!$V$41*'TUSD BF'!$V$58</f>
        <v>0</v>
      </c>
      <c r="W41" s="13">
        <f>'TUSD BE'!$W$41*'TUSD BF'!$W$58</f>
        <v>0</v>
      </c>
      <c r="X41" s="13">
        <f>'TUSD BE'!$X$41*'TUSD BF'!$X$58</f>
        <v>0</v>
      </c>
      <c r="Y41" s="13">
        <f>'TUSD BE'!$Y$41*'TUSD BF'!$Y$58</f>
        <v>0</v>
      </c>
      <c r="Z41" s="13">
        <f>'TUSD BE'!$Z$41*'TUSD BF'!$Z$58</f>
        <v>0</v>
      </c>
      <c r="AA41" s="13">
        <f>'TUSD BE'!$AA$41*'TUSD BF'!$AA$58</f>
        <v>0</v>
      </c>
      <c r="AB41" s="13">
        <f>SUM($U$41:$AA$41)</f>
        <v>0</v>
      </c>
      <c r="AC41" s="13">
        <f>'TUSD BE'!$AC$41*'TUSD BF'!$AC$58</f>
        <v>0</v>
      </c>
      <c r="AD41" s="13">
        <f>SUM($AC$41:$AC$41)</f>
        <v>0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BF'!$AH$58</f>
        <v>0</v>
      </c>
      <c r="AI41" s="13">
        <f>'TUSD BE'!$AI$41*'TUSD BF'!$AI$58</f>
        <v>0</v>
      </c>
      <c r="AJ41" s="13">
        <f ca="1">'TUSD BE'!$AJ$41*'TUSD BF'!$AJ$58</f>
        <v>0</v>
      </c>
      <c r="AK41" s="13">
        <f ca="1">'TUSD BE'!$AK$41*'TUSD BF'!$AK$58</f>
        <v>0</v>
      </c>
      <c r="AL41" s="13">
        <f ca="1">SUM($AH$41:$AK$41)</f>
        <v>0</v>
      </c>
      <c r="AM41" s="13">
        <f ca="1">SUMIF($L$4:$AL$4,"SUBTOTAL",$L$41:$AL$41)</f>
        <v>0</v>
      </c>
      <c r="AO41" s="26">
        <f ca="1">+'TUSD BE'!$T$41+'TUSD BE'!$AB$41+'TUSD BE'!$AD$41+'TUSD BE'!$AL$41</f>
        <v>854.9838904979589</v>
      </c>
      <c r="AP41" s="26">
        <f ca="1">+'TUSD BE'!$T$41+'TUSD BE'!$AB$41+'TUSD BE'!$AD$41+'TUSD BE'!$AL$41</f>
        <v>854.9838904979589</v>
      </c>
    </row>
    <row r="42" spans="1:42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>
        <f>'TUSD BE'!$L$42*'TUSD BF'!$L$58</f>
        <v>0</v>
      </c>
      <c r="M42" s="13">
        <f>'TUSD BE'!$M$42*'TUSD BF'!$M$58</f>
        <v>0</v>
      </c>
      <c r="N42" s="13">
        <f ca="1">'TUSD BE'!$N$42*'TUSD BF'!$N$58</f>
        <v>0</v>
      </c>
      <c r="O42" s="13">
        <f>'TUSD BE'!$O$42*'TUSD BF'!$O$58</f>
        <v>0</v>
      </c>
      <c r="P42" s="13">
        <f>'TUSD BE'!$P$42*'TUSD BF'!$P$58</f>
        <v>0</v>
      </c>
      <c r="Q42" s="13">
        <f>'TUSD BE'!$Q$42*'TUSD BF'!$Q$58</f>
        <v>0</v>
      </c>
      <c r="R42" s="13">
        <f>'TUSD BE'!$R$42*'TUSD BF'!$R$58</f>
        <v>0</v>
      </c>
      <c r="S42" s="13">
        <f>'TUSD BE'!$R$42*'TUSD BF'!$S$58</f>
        <v>0</v>
      </c>
      <c r="T42" s="13">
        <f ca="1">SUM($L$42:$S$42)</f>
        <v>0</v>
      </c>
      <c r="U42" s="13">
        <f>'TUSD BE'!$U$42*'TUSD BF'!$U$58</f>
        <v>0</v>
      </c>
      <c r="V42" s="13">
        <f>'TUSD BE'!$V$42*'TUSD BF'!$V$58</f>
        <v>0</v>
      </c>
      <c r="W42" s="13">
        <f>'TUSD BE'!$W$42*'TUSD BF'!$W$58</f>
        <v>0</v>
      </c>
      <c r="X42" s="13">
        <f>'TUSD BE'!$X$42*'TUSD BF'!$X$58</f>
        <v>0</v>
      </c>
      <c r="Y42" s="13">
        <f>'TUSD BE'!$Y$42*'TUSD BF'!$Y$58</f>
        <v>0</v>
      </c>
      <c r="Z42" s="13">
        <f>'TUSD BE'!$Z$42*'TUSD BF'!$Z$58</f>
        <v>0</v>
      </c>
      <c r="AA42" s="13">
        <f>'TUSD BE'!$AA$42*'TUSD BF'!$AA$58</f>
        <v>0</v>
      </c>
      <c r="AB42" s="13">
        <f>SUM($U$42:$AA$42)</f>
        <v>0</v>
      </c>
      <c r="AC42" s="13">
        <f>'TUSD BE'!$AC$42*'TUSD BF'!$AC$58</f>
        <v>0</v>
      </c>
      <c r="AD42" s="13">
        <f>SUM($AC$42:$AC$42)</f>
        <v>0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BF'!$AH$58</f>
        <v>0</v>
      </c>
      <c r="AI42" s="13">
        <f>'TUSD BE'!$AI$42*'TUSD BF'!$AI$58</f>
        <v>0</v>
      </c>
      <c r="AJ42" s="13">
        <f ca="1">'TUSD BE'!$AJ$42*'TUSD BF'!$AJ$58</f>
        <v>0</v>
      </c>
      <c r="AK42" s="13">
        <f ca="1">'TUSD BE'!$AK$42*'TUSD BF'!$AK$58</f>
        <v>0</v>
      </c>
      <c r="AL42" s="13">
        <f ca="1">SUM($AH$42:$AK$42)</f>
        <v>0</v>
      </c>
      <c r="AM42" s="13">
        <f ca="1">SUMIF($L$4:$AL$4,"SUBTOTAL",$L$42:$AL$42)</f>
        <v>0</v>
      </c>
      <c r="AO42" s="26">
        <f ca="1">+'TUSD BE'!$T$42+'TUSD BE'!$AB$42+'TUSD BE'!$AD$42+'TUSD BE'!$AL$42</f>
        <v>854.9838904979589</v>
      </c>
      <c r="AP42" s="26">
        <f ca="1">+'TUSD BE'!$T$42+'TUSD BE'!$AB$42+'TUSD BE'!$AD$42+'TUSD BE'!$AL$42</f>
        <v>854.9838904979589</v>
      </c>
    </row>
    <row r="43" spans="1:42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>
        <f>'TUSD BE'!$L$43*'TUSD BF'!$L$58</f>
        <v>0</v>
      </c>
      <c r="M43" s="13">
        <f>'TUSD BE'!$M$43*'TUSD BF'!$M$58</f>
        <v>0</v>
      </c>
      <c r="N43" s="13">
        <f ca="1">'TUSD BE'!$N$43*'TUSD BF'!$N$58</f>
        <v>0</v>
      </c>
      <c r="O43" s="13">
        <f>'TUSD BE'!$O$43*'TUSD BF'!$O$58</f>
        <v>0</v>
      </c>
      <c r="P43" s="13">
        <f>'TUSD BE'!$P$43*'TUSD BF'!$P$58</f>
        <v>0</v>
      </c>
      <c r="Q43" s="13">
        <f>'TUSD BE'!$Q$43*'TUSD BF'!$Q$58</f>
        <v>0</v>
      </c>
      <c r="R43" s="13">
        <f>'TUSD BE'!$R$43*'TUSD BF'!$R$58</f>
        <v>0</v>
      </c>
      <c r="S43" s="13">
        <f>'TUSD BE'!$R$43*'TUSD BF'!$S$58</f>
        <v>0</v>
      </c>
      <c r="T43" s="13">
        <f ca="1">SUM($L$43:$S$43)</f>
        <v>0</v>
      </c>
      <c r="U43" s="13">
        <f>'TUSD BE'!$U$43*'TUSD BF'!$U$58</f>
        <v>0</v>
      </c>
      <c r="V43" s="13">
        <f>'TUSD BE'!$V$43*'TUSD BF'!$V$58</f>
        <v>0</v>
      </c>
      <c r="W43" s="13">
        <f>'TUSD BE'!$W$43*'TUSD BF'!$W$58</f>
        <v>0</v>
      </c>
      <c r="X43" s="13">
        <f>'TUSD BE'!$X$43*'TUSD BF'!$X$58</f>
        <v>0</v>
      </c>
      <c r="Y43" s="13">
        <f>'TUSD BE'!$Y$43*'TUSD BF'!$Y$58</f>
        <v>0</v>
      </c>
      <c r="Z43" s="13">
        <f>'TUSD BE'!$Z$43*'TUSD BF'!$Z$58</f>
        <v>0</v>
      </c>
      <c r="AA43" s="13">
        <f>'TUSD BE'!$AA$43*'TUSD BF'!$AA$58</f>
        <v>0</v>
      </c>
      <c r="AB43" s="13">
        <f>SUM($U$43:$AA$43)</f>
        <v>0</v>
      </c>
      <c r="AC43" s="13">
        <f>'TUSD BE'!$AC$43*'TUSD BF'!$AC$58</f>
        <v>0</v>
      </c>
      <c r="AD43" s="13">
        <f>SUM($AC$43:$AC$43)</f>
        <v>0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BF'!$AH$58</f>
        <v>0</v>
      </c>
      <c r="AI43" s="13">
        <f>'TUSD BE'!$AI$43*'TUSD BF'!$AI$58</f>
        <v>0</v>
      </c>
      <c r="AJ43" s="13">
        <f ca="1">'TUSD BE'!$AJ$43*'TUSD BF'!$AJ$58</f>
        <v>0</v>
      </c>
      <c r="AK43" s="13">
        <f ca="1">'TUSD BE'!$AK$43*'TUSD BF'!$AK$58</f>
        <v>0</v>
      </c>
      <c r="AL43" s="13">
        <f ca="1">SUM($AH$43:$AK$43)</f>
        <v>0</v>
      </c>
      <c r="AM43" s="13">
        <f ca="1">SUMIF($L$4:$AL$4,"SUBTOTAL",$L$43:$AL$43)</f>
        <v>0</v>
      </c>
      <c r="AO43" s="26">
        <f ca="1">+'TUSD BE'!$T$43+'TUSD BE'!$AB$43+'TUSD BE'!$AD$43+'TUSD BE'!$AL$43</f>
        <v>854.9838904979589</v>
      </c>
      <c r="AP43" s="26">
        <f ca="1">+'TUSD BE'!$T$43+'TUSD BE'!$AB$43+'TUSD BE'!$AD$43+'TUSD BE'!$AL$43</f>
        <v>854.9838904979589</v>
      </c>
    </row>
    <row r="44" spans="1:42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>
        <f>'TUSD BE'!$L$44*'TUSD BF'!$L$58</f>
        <v>0</v>
      </c>
      <c r="M44" s="13">
        <f>'TUSD BE'!$M$44*'TUSD BF'!$M$58</f>
        <v>0</v>
      </c>
      <c r="N44" s="13">
        <f ca="1">'TUSD BE'!$N$44*'TUSD BF'!$N$58</f>
        <v>0</v>
      </c>
      <c r="O44" s="13">
        <f>'TUSD BE'!$O$44*'TUSD BF'!$O$58</f>
        <v>0</v>
      </c>
      <c r="P44" s="13">
        <f>'TUSD BE'!$P$44*'TUSD BF'!$P$58</f>
        <v>0</v>
      </c>
      <c r="Q44" s="13">
        <f>'TUSD BE'!$Q$44*'TUSD BF'!$Q$58</f>
        <v>0</v>
      </c>
      <c r="R44" s="13">
        <f>'TUSD BE'!$R$44*'TUSD BF'!$R$58</f>
        <v>0</v>
      </c>
      <c r="S44" s="13">
        <f>'TUSD BE'!$R$44*'TUSD BF'!$S$58</f>
        <v>0</v>
      </c>
      <c r="T44" s="13">
        <f ca="1">SUM($L$44:$S$44)</f>
        <v>0</v>
      </c>
      <c r="U44" s="13">
        <f>'TUSD BE'!$U$44*'TUSD BF'!$U$58</f>
        <v>0</v>
      </c>
      <c r="V44" s="13">
        <f>'TUSD BE'!$V$44*'TUSD BF'!$V$58</f>
        <v>0</v>
      </c>
      <c r="W44" s="13">
        <f>'TUSD BE'!$W$44*'TUSD BF'!$W$58</f>
        <v>0</v>
      </c>
      <c r="X44" s="13">
        <f>'TUSD BE'!$X$44*'TUSD BF'!$X$58</f>
        <v>0</v>
      </c>
      <c r="Y44" s="13">
        <f>'TUSD BE'!$Y$44*'TUSD BF'!$Y$58</f>
        <v>0</v>
      </c>
      <c r="Z44" s="13">
        <f>'TUSD BE'!$Z$44*'TUSD BF'!$Z$58</f>
        <v>0</v>
      </c>
      <c r="AA44" s="13">
        <f>'TUSD BE'!$AA$44*'TUSD BF'!$AA$58</f>
        <v>0</v>
      </c>
      <c r="AB44" s="13">
        <f>SUM($U$44:$AA$44)</f>
        <v>0</v>
      </c>
      <c r="AC44" s="13">
        <f>'TUSD BE'!$AC$44*'TUSD BF'!$AC$58</f>
        <v>0</v>
      </c>
      <c r="AD44" s="13">
        <f>SUM($AC$44:$AC$44)</f>
        <v>0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BF'!$AH$58</f>
        <v>0</v>
      </c>
      <c r="AI44" s="13">
        <f>'TUSD BE'!$AI$44*'TUSD BF'!$AI$58</f>
        <v>0</v>
      </c>
      <c r="AJ44" s="13">
        <f ca="1">'TUSD BE'!$AJ$44*'TUSD BF'!$AJ$58</f>
        <v>0</v>
      </c>
      <c r="AK44" s="13">
        <f ca="1">'TUSD BE'!$AK$44*'TUSD BF'!$AK$58</f>
        <v>0</v>
      </c>
      <c r="AL44" s="13">
        <f ca="1">SUM($AH$44:$AK$44)</f>
        <v>0</v>
      </c>
      <c r="AM44" s="13">
        <f ca="1">SUMIF($L$4:$AL$4,"SUBTOTAL",$L$44:$AL$44)</f>
        <v>0</v>
      </c>
      <c r="AO44" s="26">
        <f ca="1">+'TUSD BE'!$T$44+'TUSD BE'!$AB$44+'TUSD BE'!$AD$44+'TUSD BE'!$AL$44</f>
        <v>854.9838904979589</v>
      </c>
      <c r="AP44" s="26">
        <f ca="1">+'TUSD BE'!$T$44+'TUSD BE'!$AB$44+'TUSD BE'!$AD$44+'TUSD BE'!$AL$44</f>
        <v>854.9838904979589</v>
      </c>
    </row>
    <row r="45" spans="1:42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>
        <f>'TUSD BE'!$L$45*'TUSD BF'!$L$58</f>
        <v>0</v>
      </c>
      <c r="M45" s="13">
        <f>'TUSD BE'!$M$45*'TUSD BF'!$M$58</f>
        <v>0</v>
      </c>
      <c r="N45" s="13">
        <f ca="1">'TUSD BE'!$N$45*'TUSD BF'!$N$58</f>
        <v>0</v>
      </c>
      <c r="O45" s="13">
        <f>'TUSD BE'!$O$45*'TUSD BF'!$O$58</f>
        <v>0</v>
      </c>
      <c r="P45" s="13">
        <f>'TUSD BE'!$P$45*'TUSD BF'!$P$58</f>
        <v>0</v>
      </c>
      <c r="Q45" s="13">
        <f>'TUSD BE'!$Q$45*'TUSD BF'!$Q$58</f>
        <v>0</v>
      </c>
      <c r="R45" s="13">
        <f>'TUSD BE'!$R$45*'TUSD BF'!$R$58</f>
        <v>0</v>
      </c>
      <c r="S45" s="13">
        <f>'TUSD BE'!$R$45*'TUSD BF'!$S$58</f>
        <v>0</v>
      </c>
      <c r="T45" s="13">
        <f ca="1">SUM($L$45:$S$45)</f>
        <v>0</v>
      </c>
      <c r="U45" s="13">
        <f>'TUSD BE'!$U$45*'TUSD BF'!$U$58</f>
        <v>0</v>
      </c>
      <c r="V45" s="13">
        <f>'TUSD BE'!$V$45*'TUSD BF'!$V$58</f>
        <v>0</v>
      </c>
      <c r="W45" s="13">
        <f>'TUSD BE'!$W$45*'TUSD BF'!$W$58</f>
        <v>0</v>
      </c>
      <c r="X45" s="13">
        <f>'TUSD BE'!$X$45*'TUSD BF'!$X$58</f>
        <v>0</v>
      </c>
      <c r="Y45" s="13">
        <f>'TUSD BE'!$Y$45*'TUSD BF'!$Y$58</f>
        <v>0</v>
      </c>
      <c r="Z45" s="13">
        <f>'TUSD BE'!$Z$45*'TUSD BF'!$Z$58</f>
        <v>0</v>
      </c>
      <c r="AA45" s="13">
        <f>'TUSD BE'!$AA$45*'TUSD BF'!$AA$58</f>
        <v>0</v>
      </c>
      <c r="AB45" s="13">
        <f>SUM($U$45:$AA$45)</f>
        <v>0</v>
      </c>
      <c r="AC45" s="13">
        <f>'TUSD BE'!$AC$45*'TUSD BF'!$AC$58</f>
        <v>0</v>
      </c>
      <c r="AD45" s="13">
        <f>SUM($AC$45:$AC$45)</f>
        <v>0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BF'!$AH$58</f>
        <v>0</v>
      </c>
      <c r="AI45" s="13">
        <f>'TUSD BE'!$AI$45*'TUSD BF'!$AI$58</f>
        <v>0</v>
      </c>
      <c r="AJ45" s="13">
        <f ca="1">'TUSD BE'!$AJ$45*'TUSD BF'!$AJ$58</f>
        <v>0</v>
      </c>
      <c r="AK45" s="13">
        <f ca="1">'TUSD BE'!$AK$45*'TUSD BF'!$AK$58</f>
        <v>0</v>
      </c>
      <c r="AL45" s="13">
        <f ca="1">SUM($AH$45:$AK$45)</f>
        <v>0</v>
      </c>
      <c r="AM45" s="13">
        <f ca="1">SUMIF($L$4:$AL$4,"SUBTOTAL",$L$45:$AL$45)</f>
        <v>0</v>
      </c>
      <c r="AO45" s="26">
        <f ca="1">+'TUSD BE'!$T$45+'TUSD BE'!$AB$45+'TUSD BE'!$AD$45+'TUSD BE'!$AL$45</f>
        <v>2625.6131440675058</v>
      </c>
      <c r="AP45" s="26">
        <f ca="1">+'TUSD BE'!$T$45+'TUSD BE'!$AB$45+'TUSD BE'!$AD$45+'TUSD BE'!$AL$45</f>
        <v>2625.6131440675058</v>
      </c>
    </row>
    <row r="46" spans="1:42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>
        <f>'TUSD BE'!$L$46*'TUSD BF'!$L$58</f>
        <v>0</v>
      </c>
      <c r="M46" s="13">
        <f>'TUSD BE'!$M$46*'TUSD BF'!$M$58</f>
        <v>0</v>
      </c>
      <c r="N46" s="13">
        <f ca="1">'TUSD BE'!$N$46*'TUSD BF'!$N$58</f>
        <v>0</v>
      </c>
      <c r="O46" s="13">
        <f>'TUSD BE'!$O$46*'TUSD BF'!$O$58</f>
        <v>0</v>
      </c>
      <c r="P46" s="13">
        <f>'TUSD BE'!$P$46*'TUSD BF'!$P$58</f>
        <v>0</v>
      </c>
      <c r="Q46" s="13">
        <f>'TUSD BE'!$Q$46*'TUSD BF'!$Q$58</f>
        <v>0</v>
      </c>
      <c r="R46" s="13">
        <f>'TUSD BE'!$R$46*'TUSD BF'!$R$58</f>
        <v>0</v>
      </c>
      <c r="S46" s="13">
        <f>'TUSD BE'!$R$46*'TUSD BF'!$S$58</f>
        <v>0</v>
      </c>
      <c r="T46" s="13">
        <f ca="1">SUM($L$46:$S$46)</f>
        <v>0</v>
      </c>
      <c r="U46" s="13">
        <f>'TUSD BE'!$U$46*'TUSD BF'!$U$58</f>
        <v>0</v>
      </c>
      <c r="V46" s="13">
        <f>'TUSD BE'!$V$46*'TUSD BF'!$V$58</f>
        <v>0</v>
      </c>
      <c r="W46" s="13">
        <f>'TUSD BE'!$W$46*'TUSD BF'!$W$58</f>
        <v>0</v>
      </c>
      <c r="X46" s="13">
        <f>'TUSD BE'!$X$46*'TUSD BF'!$X$58</f>
        <v>0</v>
      </c>
      <c r="Y46" s="13">
        <f>'TUSD BE'!$Y$46*'TUSD BF'!$Y$58</f>
        <v>0</v>
      </c>
      <c r="Z46" s="13">
        <f>'TUSD BE'!$Z$46*'TUSD BF'!$Z$58</f>
        <v>0</v>
      </c>
      <c r="AA46" s="13">
        <f>'TUSD BE'!$AA$46*'TUSD BF'!$AA$58</f>
        <v>0</v>
      </c>
      <c r="AB46" s="13">
        <f>SUM($U$46:$AA$46)</f>
        <v>0</v>
      </c>
      <c r="AC46" s="13">
        <f>'TUSD BE'!$AC$46*'TUSD BF'!$AC$58</f>
        <v>0</v>
      </c>
      <c r="AD46" s="13">
        <f>SUM($AC$46:$AC$46)</f>
        <v>0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BF'!$AH$58</f>
        <v>0</v>
      </c>
      <c r="AI46" s="13">
        <f>'TUSD BE'!$AI$46*'TUSD BF'!$AI$58</f>
        <v>0</v>
      </c>
      <c r="AJ46" s="13">
        <f ca="1">'TUSD BE'!$AJ$46*'TUSD BF'!$AJ$58</f>
        <v>0</v>
      </c>
      <c r="AK46" s="13">
        <f ca="1">'TUSD BE'!$AK$46*'TUSD BF'!$AK$58</f>
        <v>0</v>
      </c>
      <c r="AL46" s="13">
        <f ca="1">SUM($AH$46:$AK$46)</f>
        <v>0</v>
      </c>
      <c r="AM46" s="13">
        <f ca="1">SUMIF($L$4:$AL$4,"SUBTOTAL",$L$46:$AL$46)</f>
        <v>0</v>
      </c>
      <c r="AO46" s="26">
        <f ca="1">+'TUSD BE'!$T$46+'TUSD BE'!$AB$46+'TUSD BE'!$AD$46+'TUSD BE'!$AL$46</f>
        <v>1628.201199646066</v>
      </c>
      <c r="AP46" s="26">
        <f ca="1">+'TUSD BE'!$T$46+'TUSD BE'!$AB$46+'TUSD BE'!$AD$46+'TUSD BE'!$AL$46</f>
        <v>1628.201199646066</v>
      </c>
    </row>
    <row r="47" spans="1:42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>
        <f>'TUSD BE'!$L$47*'TUSD BF'!$L$58</f>
        <v>0</v>
      </c>
      <c r="M47" s="13">
        <f>'TUSD BE'!$M$47*'TUSD BF'!$M$58</f>
        <v>0</v>
      </c>
      <c r="N47" s="13">
        <f ca="1">'TUSD BE'!$N$47*'TUSD BF'!$N$58</f>
        <v>0</v>
      </c>
      <c r="O47" s="13">
        <f>'TUSD BE'!$O$47*'TUSD BF'!$O$58</f>
        <v>0</v>
      </c>
      <c r="P47" s="13">
        <f>'TUSD BE'!$P$47*'TUSD BF'!$P$58</f>
        <v>0</v>
      </c>
      <c r="Q47" s="13">
        <f>'TUSD BE'!$Q$47*'TUSD BF'!$Q$58</f>
        <v>0</v>
      </c>
      <c r="R47" s="13">
        <f>'TUSD BE'!$R$47*'TUSD BF'!$R$58</f>
        <v>0</v>
      </c>
      <c r="S47" s="13">
        <f>'TUSD BE'!$R$47*'TUSD BF'!$S$58</f>
        <v>0</v>
      </c>
      <c r="T47" s="13">
        <f ca="1">SUM($L$47:$S$47)</f>
        <v>0</v>
      </c>
      <c r="U47" s="13">
        <f>'TUSD BE'!$U$47*'TUSD BF'!$U$58</f>
        <v>0</v>
      </c>
      <c r="V47" s="13">
        <f>'TUSD BE'!$V$47*'TUSD BF'!$V$58</f>
        <v>0</v>
      </c>
      <c r="W47" s="13">
        <f>'TUSD BE'!$W$47*'TUSD BF'!$W$58</f>
        <v>0</v>
      </c>
      <c r="X47" s="13">
        <f>'TUSD BE'!$X$47*'TUSD BF'!$X$58</f>
        <v>0</v>
      </c>
      <c r="Y47" s="13">
        <f>'TUSD BE'!$Y$47*'TUSD BF'!$Y$58</f>
        <v>0</v>
      </c>
      <c r="Z47" s="13">
        <f>'TUSD BE'!$Z$47*'TUSD BF'!$Z$58</f>
        <v>0</v>
      </c>
      <c r="AA47" s="13">
        <f>'TUSD BE'!$AA$47*'TUSD BF'!$AA$58</f>
        <v>0</v>
      </c>
      <c r="AB47" s="13">
        <f>SUM($U$47:$AA$47)</f>
        <v>0</v>
      </c>
      <c r="AC47" s="13">
        <f>'TUSD BE'!$AC$47*'TUSD BF'!$AC$58</f>
        <v>0</v>
      </c>
      <c r="AD47" s="13">
        <f>SUM($AC$47:$AC$47)</f>
        <v>0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BF'!$AH$58</f>
        <v>0</v>
      </c>
      <c r="AI47" s="13">
        <f>'TUSD BE'!$AI$47*'TUSD BF'!$AI$58</f>
        <v>0</v>
      </c>
      <c r="AJ47" s="13">
        <f ca="1">'TUSD BE'!$AJ$47*'TUSD BF'!$AJ$58</f>
        <v>0</v>
      </c>
      <c r="AK47" s="13">
        <f ca="1">'TUSD BE'!$AK$47*'TUSD BF'!$AK$58</f>
        <v>0</v>
      </c>
      <c r="AL47" s="13">
        <f ca="1">SUM($AH$47:$AK$47)</f>
        <v>0</v>
      </c>
      <c r="AM47" s="13">
        <f ca="1">SUMIF($L$4:$AL$4,"SUBTOTAL",$L$47:$AL$47)</f>
        <v>0</v>
      </c>
      <c r="AO47" s="26">
        <f ca="1">+'TUSD BE'!$T$47+'TUSD BE'!$AB$47+'TUSD BE'!$AD$47+'TUSD BE'!$AL$47</f>
        <v>630.91852075082102</v>
      </c>
      <c r="AP47" s="26">
        <f ca="1">+'TUSD BE'!$T$47+'TUSD BE'!$AB$47+'TUSD BE'!$AD$47+'TUSD BE'!$AL$47</f>
        <v>630.91852075082102</v>
      </c>
    </row>
    <row r="48" spans="1:42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>
        <f>'TUSD BE'!$L$48*'TUSD BF'!$L$58</f>
        <v>0</v>
      </c>
      <c r="M48" s="13">
        <f>'TUSD BE'!$M$48*'TUSD BF'!$M$58</f>
        <v>0</v>
      </c>
      <c r="N48" s="13">
        <f ca="1">'TUSD BE'!$N$48*'TUSD BF'!$N$58</f>
        <v>0</v>
      </c>
      <c r="O48" s="13">
        <f>'TUSD BE'!$O$48*'TUSD BF'!$O$58</f>
        <v>0</v>
      </c>
      <c r="P48" s="13">
        <f>'TUSD BE'!$P$48*'TUSD BF'!$P$58</f>
        <v>0</v>
      </c>
      <c r="Q48" s="13">
        <f>'TUSD BE'!$Q$48*'TUSD BF'!$Q$58</f>
        <v>0</v>
      </c>
      <c r="R48" s="13">
        <f>'TUSD BE'!$R$48*'TUSD BF'!$R$58</f>
        <v>0</v>
      </c>
      <c r="S48" s="13">
        <f>'TUSD BE'!$R$48*'TUSD BF'!$S$58</f>
        <v>0</v>
      </c>
      <c r="T48" s="13">
        <f ca="1">SUM($L$48:$S$48)</f>
        <v>0</v>
      </c>
      <c r="U48" s="13">
        <f>'TUSD BE'!$U$48*'TUSD BF'!$U$58</f>
        <v>0</v>
      </c>
      <c r="V48" s="13">
        <f>'TUSD BE'!$V$48*'TUSD BF'!$V$58</f>
        <v>0</v>
      </c>
      <c r="W48" s="13">
        <f>'TUSD BE'!$W$48*'TUSD BF'!$W$58</f>
        <v>0</v>
      </c>
      <c r="X48" s="13">
        <f>'TUSD BE'!$X$48*'TUSD BF'!$X$58</f>
        <v>0</v>
      </c>
      <c r="Y48" s="13">
        <f>'TUSD BE'!$Y$48*'TUSD BF'!$Y$58</f>
        <v>0</v>
      </c>
      <c r="Z48" s="13">
        <f>'TUSD BE'!$Z$48*'TUSD BF'!$Z$58</f>
        <v>0</v>
      </c>
      <c r="AA48" s="13">
        <f>'TUSD BE'!$AA$48*'TUSD BF'!$AA$58</f>
        <v>0</v>
      </c>
      <c r="AB48" s="13">
        <f>SUM($U$48:$AA$48)</f>
        <v>0</v>
      </c>
      <c r="AC48" s="13">
        <f>'TUSD BE'!$AC$48*'TUSD BF'!$AC$58</f>
        <v>0</v>
      </c>
      <c r="AD48" s="13">
        <f>SUM($AC$48:$AC$48)</f>
        <v>0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BF'!$AH$58</f>
        <v>0</v>
      </c>
      <c r="AI48" s="13">
        <f>'TUSD BE'!$AI$48*'TUSD BF'!$AI$58</f>
        <v>0</v>
      </c>
      <c r="AJ48" s="13">
        <f ca="1">'TUSD BE'!$AJ$48*'TUSD BF'!$AJ$58</f>
        <v>0</v>
      </c>
      <c r="AK48" s="13">
        <f ca="1">'TUSD BE'!$AK$48*'TUSD BF'!$AK$58</f>
        <v>0</v>
      </c>
      <c r="AL48" s="13">
        <f ca="1">SUM($AH$48:$AK$48)</f>
        <v>0</v>
      </c>
      <c r="AM48" s="13">
        <f ca="1">SUMIF($L$4:$AL$4,"SUBTOTAL",$L$48:$AL$48)</f>
        <v>0</v>
      </c>
      <c r="AO48" s="26">
        <f ca="1">+'TUSD BE'!$T$48+'TUSD BE'!$AB$48+'TUSD BE'!$AD$48+'TUSD BE'!$AL$48</f>
        <v>854.9838904979589</v>
      </c>
      <c r="AP48" s="26">
        <f ca="1">+'TUSD BE'!$T$48+'TUSD BE'!$AB$48+'TUSD BE'!$AD$48+'TUSD BE'!$AL$48</f>
        <v>854.9838904979589</v>
      </c>
    </row>
    <row r="49" spans="1:42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>
        <f>'TUSD BE'!$L$49*'TUSD BF'!$L$58</f>
        <v>0</v>
      </c>
      <c r="M49" s="13">
        <f>'TUSD BE'!$M$49*'TUSD BF'!$M$58</f>
        <v>0</v>
      </c>
      <c r="N49" s="13">
        <f ca="1">'TUSD BE'!$N$49*'TUSD BF'!$N$58</f>
        <v>0</v>
      </c>
      <c r="O49" s="13">
        <f>'TUSD BE'!$O$49*'TUSD BF'!$O$58</f>
        <v>0</v>
      </c>
      <c r="P49" s="13">
        <f>'TUSD BE'!$P$49*'TUSD BF'!$P$58</f>
        <v>0</v>
      </c>
      <c r="Q49" s="13">
        <f>'TUSD BE'!$Q$49*'TUSD BF'!$Q$58</f>
        <v>0</v>
      </c>
      <c r="R49" s="13">
        <f>'TUSD BE'!$R$49*'TUSD BF'!$R$58</f>
        <v>0</v>
      </c>
      <c r="S49" s="13">
        <f>'TUSD BE'!$R$49*'TUSD BF'!$S$58</f>
        <v>0</v>
      </c>
      <c r="T49" s="13">
        <f ca="1">SUM($L$49:$S$49)</f>
        <v>0</v>
      </c>
      <c r="U49" s="13">
        <f>'TUSD BE'!$U$49*'TUSD BF'!$U$58</f>
        <v>0</v>
      </c>
      <c r="V49" s="13">
        <f>'TUSD BE'!$V$49*'TUSD BF'!$V$58</f>
        <v>0</v>
      </c>
      <c r="W49" s="13">
        <f>'TUSD BE'!$W$49*'TUSD BF'!$W$58</f>
        <v>0</v>
      </c>
      <c r="X49" s="13">
        <f>'TUSD BE'!$X$49*'TUSD BF'!$X$58</f>
        <v>0</v>
      </c>
      <c r="Y49" s="13">
        <f>'TUSD BE'!$Y$49*'TUSD BF'!$Y$58</f>
        <v>0</v>
      </c>
      <c r="Z49" s="13">
        <f>'TUSD BE'!$Z$49*'TUSD BF'!$Z$58</f>
        <v>0</v>
      </c>
      <c r="AA49" s="13">
        <f>'TUSD BE'!$AA$49*'TUSD BF'!$AA$58</f>
        <v>0</v>
      </c>
      <c r="AB49" s="13">
        <f>SUM($U$49:$AA$49)</f>
        <v>0</v>
      </c>
      <c r="AC49" s="13">
        <f>'TUSD BE'!$AC$49*'TUSD BF'!$AC$58</f>
        <v>0</v>
      </c>
      <c r="AD49" s="13">
        <f>SUM($AC$49:$AC$49)</f>
        <v>0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BF'!$AH$58</f>
        <v>0</v>
      </c>
      <c r="AI49" s="13">
        <f>'TUSD BE'!$AI$49*'TUSD BF'!$AI$58</f>
        <v>0</v>
      </c>
      <c r="AJ49" s="13">
        <f ca="1">'TUSD BE'!$AJ$49*'TUSD BF'!$AJ$58</f>
        <v>0</v>
      </c>
      <c r="AK49" s="13">
        <f ca="1">'TUSD BE'!$AK$49*'TUSD BF'!$AK$58</f>
        <v>0</v>
      </c>
      <c r="AL49" s="13">
        <f ca="1">SUM($AH$49:$AK$49)</f>
        <v>0</v>
      </c>
      <c r="AM49" s="13">
        <f ca="1">SUMIF($L$4:$AL$4,"SUBTOTAL",$L$49:$AL$49)</f>
        <v>0</v>
      </c>
      <c r="AO49" s="26">
        <f ca="1">+'TUSD BE'!$T$49+'TUSD BE'!$AB$49+'TUSD BE'!$AD$49+'TUSD BE'!$AL$49</f>
        <v>854.9838904979589</v>
      </c>
      <c r="AP49" s="26">
        <f ca="1">+'TUSD BE'!$T$49+'TUSD BE'!$AB$49+'TUSD BE'!$AD$49+'TUSD BE'!$AL$49</f>
        <v>854.9838904979589</v>
      </c>
    </row>
    <row r="50" spans="1:42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>
        <f>'TUSD BE'!$L$50*'TUSD BF'!$L$58</f>
        <v>0</v>
      </c>
      <c r="M50" s="13">
        <f>'TUSD BE'!$M$50*'TUSD BF'!$M$58</f>
        <v>0</v>
      </c>
      <c r="N50" s="13">
        <f ca="1">'TUSD BE'!$N$50*'TUSD BF'!$N$58</f>
        <v>0</v>
      </c>
      <c r="O50" s="13">
        <f>'TUSD BE'!$O$50*'TUSD BF'!$O$58</f>
        <v>0</v>
      </c>
      <c r="P50" s="13">
        <f>'TUSD BE'!$P$50*'TUSD BF'!$P$58</f>
        <v>0</v>
      </c>
      <c r="Q50" s="13">
        <f>'TUSD BE'!$Q$50*'TUSD BF'!$Q$58</f>
        <v>0</v>
      </c>
      <c r="R50" s="13">
        <f>'TUSD BE'!$R$50*'TUSD BF'!$R$58</f>
        <v>0</v>
      </c>
      <c r="S50" s="13">
        <f>'TUSD BE'!$R$50*'TUSD BF'!$S$58</f>
        <v>0</v>
      </c>
      <c r="T50" s="13">
        <f ca="1">SUM($L$50:$S$50)</f>
        <v>0</v>
      </c>
      <c r="U50" s="13">
        <f>'TUSD BE'!$U$50*'TUSD BF'!$U$58</f>
        <v>0</v>
      </c>
      <c r="V50" s="13">
        <f>'TUSD BE'!$V$50*'TUSD BF'!$V$58</f>
        <v>0</v>
      </c>
      <c r="W50" s="13">
        <f>'TUSD BE'!$W$50*'TUSD BF'!$W$58</f>
        <v>0</v>
      </c>
      <c r="X50" s="13">
        <f>'TUSD BE'!$X$50*'TUSD BF'!$X$58</f>
        <v>0</v>
      </c>
      <c r="Y50" s="13">
        <f>'TUSD BE'!$Y$50*'TUSD BF'!$Y$58</f>
        <v>0</v>
      </c>
      <c r="Z50" s="13">
        <f>'TUSD BE'!$Z$50*'TUSD BF'!$Z$58</f>
        <v>0</v>
      </c>
      <c r="AA50" s="13">
        <f>'TUSD BE'!$AA$50*'TUSD BF'!$AA$58</f>
        <v>0</v>
      </c>
      <c r="AB50" s="13">
        <f>SUM($U$50:$AA$50)</f>
        <v>0</v>
      </c>
      <c r="AC50" s="13">
        <f>'TUSD BE'!$AC$50*'TUSD BF'!$AC$58</f>
        <v>0</v>
      </c>
      <c r="AD50" s="13">
        <f>SUM($AC$50:$AC$50)</f>
        <v>0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BF'!$AH$58</f>
        <v>0</v>
      </c>
      <c r="AI50" s="13">
        <f>'TUSD BE'!$AI$50*'TUSD BF'!$AI$58</f>
        <v>0</v>
      </c>
      <c r="AJ50" s="13">
        <f ca="1">'TUSD BE'!$AJ$50*'TUSD BF'!$AJ$58</f>
        <v>0</v>
      </c>
      <c r="AK50" s="13">
        <f ca="1">'TUSD BE'!$AK$50*'TUSD BF'!$AK$58</f>
        <v>0</v>
      </c>
      <c r="AL50" s="13">
        <f ca="1">SUM($AH$50:$AK$50)</f>
        <v>0</v>
      </c>
      <c r="AM50" s="13">
        <f ca="1">SUMIF($L$4:$AL$4,"SUBTOTAL",$L$50:$AL$50)</f>
        <v>0</v>
      </c>
      <c r="AO50" s="26">
        <f ca="1">+'TUSD BE'!$T$50+'TUSD BE'!$AB$50+'TUSD BE'!$AD$50+'TUSD BE'!$AL$50</f>
        <v>470.24113977387748</v>
      </c>
      <c r="AP50" s="26">
        <f ca="1">+'TUSD BE'!$T$50+'TUSD BE'!$AB$50+'TUSD BE'!$AD$50+'TUSD BE'!$AL$50</f>
        <v>470.24113977387748</v>
      </c>
    </row>
    <row r="51" spans="1:42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>
        <f>'TUSD BE'!$L$51*'TUSD BF'!$L$58</f>
        <v>0</v>
      </c>
      <c r="M51" s="13">
        <f>'TUSD BE'!$M$51*'TUSD BF'!$M$58</f>
        <v>0</v>
      </c>
      <c r="N51" s="13">
        <f ca="1">'TUSD BE'!$N$51*'TUSD BF'!$N$58</f>
        <v>0</v>
      </c>
      <c r="O51" s="13">
        <f>'TUSD BE'!$O$51*'TUSD BF'!$O$58</f>
        <v>0</v>
      </c>
      <c r="P51" s="13">
        <f>'TUSD BE'!$P$51*'TUSD BF'!$P$58</f>
        <v>0</v>
      </c>
      <c r="Q51" s="13">
        <f>'TUSD BE'!$Q$51*'TUSD BF'!$Q$58</f>
        <v>0</v>
      </c>
      <c r="R51" s="13">
        <f>'TUSD BE'!$R$51*'TUSD BF'!$R$58</f>
        <v>0</v>
      </c>
      <c r="S51" s="13">
        <f>'TUSD BE'!$R$51*'TUSD BF'!$S$58</f>
        <v>0</v>
      </c>
      <c r="T51" s="13">
        <f ca="1">SUM($L$51:$S$51)</f>
        <v>0</v>
      </c>
      <c r="U51" s="13">
        <f>'TUSD BE'!$U$51*'TUSD BF'!$U$58</f>
        <v>0</v>
      </c>
      <c r="V51" s="13">
        <f>'TUSD BE'!$V$51*'TUSD BF'!$V$58</f>
        <v>0</v>
      </c>
      <c r="W51" s="13">
        <f>'TUSD BE'!$W$51*'TUSD BF'!$W$58</f>
        <v>0</v>
      </c>
      <c r="X51" s="13">
        <f>'TUSD BE'!$X$51*'TUSD BF'!$X$58</f>
        <v>0</v>
      </c>
      <c r="Y51" s="13">
        <f>'TUSD BE'!$Y$51*'TUSD BF'!$Y$58</f>
        <v>0</v>
      </c>
      <c r="Z51" s="13">
        <f>'TUSD BE'!$Z$51*'TUSD BF'!$Z$58</f>
        <v>0</v>
      </c>
      <c r="AA51" s="13">
        <f>'TUSD BE'!$AA$51*'TUSD BF'!$AA$58</f>
        <v>0</v>
      </c>
      <c r="AB51" s="13">
        <f>SUM($U$51:$AA$51)</f>
        <v>0</v>
      </c>
      <c r="AC51" s="13">
        <f>'TUSD BE'!$AC$51*'TUSD BF'!$AC$58</f>
        <v>0</v>
      </c>
      <c r="AD51" s="13">
        <f>SUM($AC$51:$AC$51)</f>
        <v>0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BF'!$AH$58</f>
        <v>0</v>
      </c>
      <c r="AI51" s="13">
        <f>'TUSD BE'!$AI$51*'TUSD BF'!$AI$58</f>
        <v>0</v>
      </c>
      <c r="AJ51" s="13">
        <f ca="1">'TUSD BE'!$AJ$51*'TUSD BF'!$AJ$58</f>
        <v>0</v>
      </c>
      <c r="AK51" s="13">
        <f ca="1">'TUSD BE'!$AK$51*'TUSD BF'!$AK$58</f>
        <v>0</v>
      </c>
      <c r="AL51" s="13">
        <f ca="1">SUM($AH$51:$AK$51)</f>
        <v>0</v>
      </c>
      <c r="AM51" s="13">
        <f ca="1">SUMIF($L$4:$AL$4,"SUBTOTAL",$L$51:$AL$51)</f>
        <v>0</v>
      </c>
      <c r="AO51" s="26">
        <f ca="1">+'TUSD BE'!$T$51+'TUSD BE'!$AB$51+'TUSD BE'!$AD$51+'TUSD BE'!$AL$51</f>
        <v>512.99033429877534</v>
      </c>
      <c r="AP51" s="26">
        <f ca="1">+'TUSD BE'!$T$51+'TUSD BE'!$AB$51+'TUSD BE'!$AD$51+'TUSD BE'!$AL$51</f>
        <v>512.99033429877534</v>
      </c>
    </row>
    <row r="53" spans="1:42" ht="11.25" customHeight="1" x14ac:dyDescent="0.25">
      <c r="K53" s="16" t="s">
        <v>509</v>
      </c>
      <c r="L53" s="13">
        <f>SUMPRODUCT($I$5:$I51,$L$5:$L51)</f>
        <v>0</v>
      </c>
      <c r="M53" s="13">
        <f>SUMPRODUCT($I$5:$I51,$M$5:$M51)</f>
        <v>0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0</v>
      </c>
      <c r="R53" s="13">
        <f>SUMPRODUCT($I$5:$I51,$R$5:$R51)</f>
        <v>0</v>
      </c>
      <c r="S53" s="13">
        <f>SUMPRODUCT($I$5:$I51,$S$5:$S51)</f>
        <v>0</v>
      </c>
      <c r="T53" s="13">
        <f ca="1">SUMPRODUCT($I$5:$I51,$T$5:$T51)</f>
        <v>0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0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0</v>
      </c>
      <c r="AC53" s="13">
        <f>SUMPRODUCT($I$5:$I51,$AC$5:$AC51)</f>
        <v>0</v>
      </c>
      <c r="AD53" s="13">
        <f>SUMPRODUCT($I$5:$I51,$AD$5:$AD51)</f>
        <v>0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0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0</v>
      </c>
      <c r="AM53" s="13">
        <f ca="1">SUMPRODUCT($I$5:$I51,$AM$5:$AM51)</f>
        <v>0</v>
      </c>
      <c r="AO53" s="24">
        <f ca="1">SUMPRODUCT($I$5:$I51,$AO$5:$AO51)</f>
        <v>13211568.228349576</v>
      </c>
      <c r="AP53" s="24">
        <f ca="1">SUMPRODUCT($I$5:$I51,$AP$5:$AP51)</f>
        <v>13211568.228349576</v>
      </c>
    </row>
    <row r="54" spans="1:42" ht="11.25" customHeight="1" x14ac:dyDescent="0.25">
      <c r="K54" s="16" t="s">
        <v>441</v>
      </c>
      <c r="L54" s="13">
        <f>'TR TUSD'!$L$56</f>
        <v>0</v>
      </c>
      <c r="M54" s="13">
        <f>'TR TUSD'!$M$56</f>
        <v>42024.992316025076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1389890.3980500002</v>
      </c>
      <c r="R54" s="13">
        <f>'TR TUSD'!$R$56</f>
        <v>222749.78508000006</v>
      </c>
      <c r="S54" s="13">
        <f>'TR TUSD'!$S$56</f>
        <v>0</v>
      </c>
      <c r="T54" s="13">
        <f>'TR TUSD'!$T$56</f>
        <v>1654665.1754460253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2300281.9677699995</v>
      </c>
      <c r="Z54" s="13">
        <f>'TR TUSD'!$Z$56</f>
        <v>0</v>
      </c>
      <c r="AA54" s="13">
        <f>'TR TUSD'!$AA$56</f>
        <v>0</v>
      </c>
      <c r="AB54" s="13">
        <f>'TR TUSD'!$AB$56</f>
        <v>2300281.9677699995</v>
      </c>
      <c r="AC54" s="13">
        <f>'TR TUSD'!$AC$56</f>
        <v>8886696.2552139182</v>
      </c>
      <c r="AD54" s="13">
        <f>'TR TUSD'!$AD$56</f>
        <v>8886696.2552139182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369924.82991963299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369924.82991963299</v>
      </c>
      <c r="AM54" s="13">
        <f>CUSTOS!$D$29</f>
        <v>13211568.228349576</v>
      </c>
      <c r="AO54" s="24">
        <f>$AE$56</f>
        <v>0</v>
      </c>
      <c r="AP54" s="24">
        <f>$AF$56</f>
        <v>0</v>
      </c>
    </row>
    <row r="55" spans="1:42" ht="11.25" customHeight="1" x14ac:dyDescent="0.25">
      <c r="K55" s="16" t="s">
        <v>442</v>
      </c>
      <c r="L55" s="13">
        <f>CUSTOS!$E$2</f>
        <v>0</v>
      </c>
      <c r="M55" s="13">
        <f>CUSTOS!$E$3</f>
        <v>1320.0697366684942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43111.948945576783</v>
      </c>
      <c r="R55" s="13">
        <f>CUSTOS!$E$8</f>
        <v>6031.9928132301266</v>
      </c>
      <c r="S55" s="13">
        <f>CUSTOS!$E$9</f>
        <v>0</v>
      </c>
      <c r="T55" s="13">
        <f>CUSTOS!$E$10</f>
        <v>50464.011495475403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-72221.181788456161</v>
      </c>
      <c r="Z55" s="13">
        <f>CUSTOS!$E$16</f>
        <v>0</v>
      </c>
      <c r="AA55" s="13">
        <f>CUSTOS!$E$17</f>
        <v>0</v>
      </c>
      <c r="AB55" s="13">
        <f>CUSTOS!$E$18</f>
        <v>-72221.181788456161</v>
      </c>
      <c r="AC55" s="13">
        <f>CUSTOS!$E$19</f>
        <v>-2630709.1586146285</v>
      </c>
      <c r="AD55" s="13">
        <f>CUSTOS!$E$20</f>
        <v>-2630709.1586146285</v>
      </c>
      <c r="AE55" s="13">
        <f>CUSTOS!$E$21</f>
        <v>-188889.07681808999</v>
      </c>
      <c r="AF55" s="13">
        <f>CUSTOS!$E$22</f>
        <v>0</v>
      </c>
      <c r="AG55" s="13">
        <f>CUSTOS!$E$23</f>
        <v>-188889.07681808999</v>
      </c>
      <c r="AH55" s="13">
        <f>CUSTOS!$E$24</f>
        <v>-1946.4421251605609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-1946.4421251605609</v>
      </c>
      <c r="AM55" s="13">
        <f>CUSTOS!$E$29</f>
        <v>-2843301.8478508601</v>
      </c>
      <c r="AO55" s="24">
        <f ca="1">IF(AO53&lt;&gt;0,AO54/AO53,0)</f>
        <v>0</v>
      </c>
      <c r="AP55" s="24">
        <f ca="1">IF(AP53&lt;&gt;0,AP54/AP53,0)</f>
        <v>0</v>
      </c>
    </row>
    <row r="56" spans="1:42" ht="11.25" customHeight="1" x14ac:dyDescent="0.25">
      <c r="K56" s="16" t="s">
        <v>443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506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/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/>
      <c r="AC57" s="13">
        <v>0</v>
      </c>
      <c r="AD57" s="13"/>
      <c r="AE57" s="13">
        <v>0</v>
      </c>
      <c r="AF57" s="13">
        <v>0</v>
      </c>
      <c r="AG57" s="13"/>
      <c r="AH57" s="13">
        <v>0</v>
      </c>
      <c r="AI57" s="13">
        <v>0</v>
      </c>
      <c r="AJ57" s="13">
        <v>0</v>
      </c>
      <c r="AK57" s="13">
        <v>0</v>
      </c>
      <c r="AL57" s="13"/>
      <c r="AM57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42" priority="55" operator="notEqual">
      <formula>$L$56</formula>
    </cfRule>
    <cfRule type="cellIs" dxfId="641" priority="56" operator="equal">
      <formula>$L$56</formula>
    </cfRule>
  </conditionalFormatting>
  <conditionalFormatting sqref="M53">
    <cfRule type="cellIs" dxfId="640" priority="53" operator="notEqual">
      <formula>$M$56</formula>
    </cfRule>
    <cfRule type="cellIs" dxfId="639" priority="54" operator="equal">
      <formula>$M$56</formula>
    </cfRule>
  </conditionalFormatting>
  <conditionalFormatting sqref="N53">
    <cfRule type="cellIs" dxfId="638" priority="51" operator="notEqual">
      <formula>$N$56</formula>
    </cfRule>
    <cfRule type="cellIs" dxfId="637" priority="52" operator="equal">
      <formula>$N$56</formula>
    </cfRule>
  </conditionalFormatting>
  <conditionalFormatting sqref="O53">
    <cfRule type="cellIs" dxfId="636" priority="49" operator="notEqual">
      <formula>$O$56</formula>
    </cfRule>
    <cfRule type="cellIs" dxfId="635" priority="50" operator="equal">
      <formula>$O$56</formula>
    </cfRule>
  </conditionalFormatting>
  <conditionalFormatting sqref="P53">
    <cfRule type="cellIs" dxfId="634" priority="47" operator="notEqual">
      <formula>$P$56</formula>
    </cfRule>
    <cfRule type="cellIs" dxfId="633" priority="48" operator="equal">
      <formula>$P$56</formula>
    </cfRule>
  </conditionalFormatting>
  <conditionalFormatting sqref="Q53">
    <cfRule type="cellIs" dxfId="632" priority="45" operator="notEqual">
      <formula>$Q$56</formula>
    </cfRule>
    <cfRule type="cellIs" dxfId="631" priority="46" operator="equal">
      <formula>$Q$56</formula>
    </cfRule>
  </conditionalFormatting>
  <conditionalFormatting sqref="R53">
    <cfRule type="cellIs" dxfId="630" priority="43" operator="notEqual">
      <formula>$R$56</formula>
    </cfRule>
    <cfRule type="cellIs" dxfId="629" priority="44" operator="equal">
      <formula>$R$56</formula>
    </cfRule>
  </conditionalFormatting>
  <conditionalFormatting sqref="S53">
    <cfRule type="cellIs" dxfId="628" priority="41" operator="notEqual">
      <formula>$S$56</formula>
    </cfRule>
    <cfRule type="cellIs" dxfId="627" priority="42" operator="equal">
      <formula>$S$56</formula>
    </cfRule>
  </conditionalFormatting>
  <conditionalFormatting sqref="T53">
    <cfRule type="cellIs" dxfId="626" priority="39" operator="notEqual">
      <formula>$T$56</formula>
    </cfRule>
    <cfRule type="cellIs" dxfId="625" priority="40" operator="equal">
      <formula>$T$56</formula>
    </cfRule>
  </conditionalFormatting>
  <conditionalFormatting sqref="U53">
    <cfRule type="cellIs" dxfId="624" priority="37" operator="notEqual">
      <formula>$U$56</formula>
    </cfRule>
    <cfRule type="cellIs" dxfId="623" priority="38" operator="equal">
      <formula>$U$56</formula>
    </cfRule>
  </conditionalFormatting>
  <conditionalFormatting sqref="V53">
    <cfRule type="cellIs" dxfId="622" priority="35" operator="notEqual">
      <formula>$V$56</formula>
    </cfRule>
    <cfRule type="cellIs" dxfId="621" priority="36" operator="equal">
      <formula>$V$56</formula>
    </cfRule>
  </conditionalFormatting>
  <conditionalFormatting sqref="W53">
    <cfRule type="cellIs" dxfId="620" priority="33" operator="notEqual">
      <formula>$W$56</formula>
    </cfRule>
    <cfRule type="cellIs" dxfId="619" priority="34" operator="equal">
      <formula>$W$56</formula>
    </cfRule>
  </conditionalFormatting>
  <conditionalFormatting sqref="X53">
    <cfRule type="cellIs" dxfId="618" priority="31" operator="notEqual">
      <formula>$X$56</formula>
    </cfRule>
    <cfRule type="cellIs" dxfId="617" priority="32" operator="equal">
      <formula>$X$56</formula>
    </cfRule>
  </conditionalFormatting>
  <conditionalFormatting sqref="Y53">
    <cfRule type="cellIs" dxfId="616" priority="29" operator="notEqual">
      <formula>$Y$56</formula>
    </cfRule>
    <cfRule type="cellIs" dxfId="615" priority="30" operator="equal">
      <formula>$Y$56</formula>
    </cfRule>
  </conditionalFormatting>
  <conditionalFormatting sqref="Z53">
    <cfRule type="cellIs" dxfId="614" priority="27" operator="notEqual">
      <formula>$Z$56</formula>
    </cfRule>
    <cfRule type="cellIs" dxfId="613" priority="28" operator="equal">
      <formula>$Z$56</formula>
    </cfRule>
  </conditionalFormatting>
  <conditionalFormatting sqref="AA53">
    <cfRule type="cellIs" dxfId="612" priority="25" operator="notEqual">
      <formula>$AA$56</formula>
    </cfRule>
    <cfRule type="cellIs" dxfId="611" priority="26" operator="equal">
      <formula>$AA$56</formula>
    </cfRule>
  </conditionalFormatting>
  <conditionalFormatting sqref="AB53">
    <cfRule type="cellIs" dxfId="610" priority="23" operator="notEqual">
      <formula>$AB$56</formula>
    </cfRule>
    <cfRule type="cellIs" dxfId="609" priority="24" operator="equal">
      <formula>$AB$56</formula>
    </cfRule>
  </conditionalFormatting>
  <conditionalFormatting sqref="AC53">
    <cfRule type="cellIs" dxfId="608" priority="21" operator="notEqual">
      <formula>$AC$56</formula>
    </cfRule>
    <cfRule type="cellIs" dxfId="607" priority="22" operator="equal">
      <formula>$AC$56</formula>
    </cfRule>
  </conditionalFormatting>
  <conditionalFormatting sqref="AD53">
    <cfRule type="cellIs" dxfId="606" priority="19" operator="notEqual">
      <formula>$AD$56</formula>
    </cfRule>
    <cfRule type="cellIs" dxfId="605" priority="20" operator="equal">
      <formula>$AD$56</formula>
    </cfRule>
  </conditionalFormatting>
  <conditionalFormatting sqref="AE53">
    <cfRule type="cellIs" dxfId="604" priority="17" operator="notEqual">
      <formula>$AE$56</formula>
    </cfRule>
    <cfRule type="cellIs" dxfId="603" priority="18" operator="equal">
      <formula>$AE$56</formula>
    </cfRule>
  </conditionalFormatting>
  <conditionalFormatting sqref="AF53">
    <cfRule type="cellIs" dxfId="602" priority="16" operator="equal">
      <formula>$AF$56</formula>
    </cfRule>
  </conditionalFormatting>
  <conditionalFormatting sqref="AF53">
    <cfRule type="cellIs" dxfId="601" priority="15" operator="notEqual">
      <formula>$AF$56</formula>
    </cfRule>
  </conditionalFormatting>
  <conditionalFormatting sqref="AG53">
    <cfRule type="cellIs" dxfId="600" priority="14" operator="equal">
      <formula>$AG$56</formula>
    </cfRule>
  </conditionalFormatting>
  <conditionalFormatting sqref="AG53">
    <cfRule type="cellIs" dxfId="599" priority="13" operator="notEqual">
      <formula>$AG$56</formula>
    </cfRule>
  </conditionalFormatting>
  <conditionalFormatting sqref="AH53">
    <cfRule type="cellIs" dxfId="598" priority="12" operator="equal">
      <formula>$AH$56</formula>
    </cfRule>
  </conditionalFormatting>
  <conditionalFormatting sqref="AH53">
    <cfRule type="cellIs" dxfId="597" priority="11" operator="notEqual">
      <formula>$AH$56</formula>
    </cfRule>
  </conditionalFormatting>
  <conditionalFormatting sqref="AI53">
    <cfRule type="cellIs" dxfId="596" priority="10" operator="equal">
      <formula>$AI$56</formula>
    </cfRule>
  </conditionalFormatting>
  <conditionalFormatting sqref="AI53">
    <cfRule type="cellIs" dxfId="595" priority="9" operator="notEqual">
      <formula>$AI$56</formula>
    </cfRule>
  </conditionalFormatting>
  <conditionalFormatting sqref="AJ53">
    <cfRule type="cellIs" dxfId="594" priority="8" operator="equal">
      <formula>$AJ$56</formula>
    </cfRule>
  </conditionalFormatting>
  <conditionalFormatting sqref="AJ53">
    <cfRule type="cellIs" dxfId="593" priority="7" operator="notEqual">
      <formula>$AJ$56</formula>
    </cfRule>
  </conditionalFormatting>
  <conditionalFormatting sqref="AK53">
    <cfRule type="cellIs" dxfId="592" priority="6" operator="equal">
      <formula>$AK$56</formula>
    </cfRule>
  </conditionalFormatting>
  <conditionalFormatting sqref="AK53">
    <cfRule type="cellIs" dxfId="591" priority="5" operator="notEqual">
      <formula>$AK$56</formula>
    </cfRule>
  </conditionalFormatting>
  <conditionalFormatting sqref="AL53">
    <cfRule type="cellIs" dxfId="590" priority="4" operator="equal">
      <formula>$AL$56</formula>
    </cfRule>
  </conditionalFormatting>
  <conditionalFormatting sqref="AL53">
    <cfRule type="cellIs" dxfId="589" priority="3" operator="notEqual">
      <formula>$AL$56</formula>
    </cfRule>
  </conditionalFormatting>
  <conditionalFormatting sqref="AM53">
    <cfRule type="cellIs" dxfId="588" priority="2" operator="equal">
      <formula>$AM$56</formula>
    </cfRule>
  </conditionalFormatting>
  <conditionalFormatting sqref="AM53">
    <cfRule type="cellIs" dxfId="587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074-99DC-403D-9B92-8F5A4F737FF1}">
  <dimension ref="A1:AB50"/>
  <sheetViews>
    <sheetView showGridLines="0" workbookViewId="0">
      <selection activeCell="K44" sqref="K44:AB50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.42578125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2" t="s">
        <v>56</v>
      </c>
      <c r="B1" s="112" t="s">
        <v>57</v>
      </c>
      <c r="C1" s="112" t="s">
        <v>58</v>
      </c>
      <c r="D1" s="112" t="s">
        <v>59</v>
      </c>
      <c r="E1" s="112" t="s">
        <v>60</v>
      </c>
      <c r="F1" s="112" t="s">
        <v>15</v>
      </c>
      <c r="G1" s="112" t="s">
        <v>62</v>
      </c>
      <c r="H1" s="112" t="s">
        <v>63</v>
      </c>
      <c r="I1" s="112" t="s">
        <v>500</v>
      </c>
      <c r="J1" s="95"/>
      <c r="L1" s="110" t="s">
        <v>521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</row>
    <row r="2" spans="1:28" ht="11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95"/>
      <c r="L2" s="110" t="s">
        <v>427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</row>
    <row r="3" spans="1:28" ht="11.2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95"/>
      <c r="L3" s="110" t="s">
        <v>400</v>
      </c>
      <c r="M3" s="110"/>
      <c r="N3" s="110"/>
      <c r="O3" s="110"/>
      <c r="P3" s="110"/>
      <c r="Q3" s="110"/>
      <c r="R3" s="110" t="s">
        <v>431</v>
      </c>
      <c r="S3" s="110"/>
      <c r="T3" s="110" t="s">
        <v>409</v>
      </c>
      <c r="U3" s="110"/>
      <c r="V3" s="110"/>
      <c r="W3" s="110"/>
      <c r="X3" s="110" t="s">
        <v>419</v>
      </c>
      <c r="Y3" s="110"/>
      <c r="Z3" s="110" t="s">
        <v>422</v>
      </c>
      <c r="AA3" s="110"/>
      <c r="AB3" s="110" t="s">
        <v>408</v>
      </c>
    </row>
    <row r="4" spans="1:28" ht="11.2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95"/>
      <c r="L4" s="30" t="s">
        <v>402</v>
      </c>
      <c r="M4" s="30" t="s">
        <v>428</v>
      </c>
      <c r="N4" s="30" t="s">
        <v>429</v>
      </c>
      <c r="O4" s="30" t="s">
        <v>488</v>
      </c>
      <c r="P4" s="30" t="s">
        <v>430</v>
      </c>
      <c r="Q4" s="30" t="s">
        <v>408</v>
      </c>
      <c r="R4" s="30" t="s">
        <v>432</v>
      </c>
      <c r="S4" s="30" t="s">
        <v>408</v>
      </c>
      <c r="T4" s="30" t="s">
        <v>433</v>
      </c>
      <c r="U4" s="30" t="s">
        <v>434</v>
      </c>
      <c r="V4" s="30" t="s">
        <v>435</v>
      </c>
      <c r="W4" s="30" t="s">
        <v>408</v>
      </c>
      <c r="X4" s="30" t="s">
        <v>420</v>
      </c>
      <c r="Y4" s="30" t="s">
        <v>408</v>
      </c>
      <c r="Z4" s="30" t="s">
        <v>436</v>
      </c>
      <c r="AA4" s="30" t="s">
        <v>408</v>
      </c>
      <c r="AB4" s="111"/>
    </row>
    <row r="5" spans="1:28" ht="11.25" customHeight="1" x14ac:dyDescent="0.25">
      <c r="A5" s="113" t="s">
        <v>39</v>
      </c>
      <c r="B5" s="113" t="s">
        <v>65</v>
      </c>
      <c r="C5" s="113" t="s">
        <v>25</v>
      </c>
      <c r="D5" s="113" t="s">
        <v>25</v>
      </c>
      <c r="E5" s="113" t="s">
        <v>25</v>
      </c>
      <c r="F5" s="113" t="s">
        <v>25</v>
      </c>
      <c r="G5" s="29" t="s">
        <v>67</v>
      </c>
      <c r="H5" s="29" t="s">
        <v>66</v>
      </c>
      <c r="I5" s="29">
        <f>'MERCADO TE'!$U$2</f>
        <v>60.844000000000008</v>
      </c>
      <c r="J5" s="15"/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26"/>
      <c r="R5" s="26">
        <v>1</v>
      </c>
      <c r="S5" s="26"/>
      <c r="T5" s="26">
        <v>1</v>
      </c>
      <c r="U5" s="26">
        <v>1</v>
      </c>
      <c r="V5" s="26">
        <v>1</v>
      </c>
      <c r="W5" s="26"/>
      <c r="X5" s="26"/>
      <c r="Y5" s="26"/>
      <c r="Z5" s="26">
        <v>1</v>
      </c>
      <c r="AA5" s="26"/>
      <c r="AB5" s="26"/>
    </row>
    <row r="6" spans="1:28" ht="11.25" customHeight="1" x14ac:dyDescent="0.25">
      <c r="A6" s="113"/>
      <c r="B6" s="113"/>
      <c r="C6" s="113"/>
      <c r="D6" s="113"/>
      <c r="E6" s="113"/>
      <c r="F6" s="113"/>
      <c r="G6" s="29" t="s">
        <v>68</v>
      </c>
      <c r="H6" s="29" t="s">
        <v>66</v>
      </c>
      <c r="I6" s="29">
        <f>'MERCADO TE'!$U$3</f>
        <v>1244.3510000000001</v>
      </c>
      <c r="J6" s="15"/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/>
      <c r="R6" s="26">
        <v>1</v>
      </c>
      <c r="S6" s="26"/>
      <c r="T6" s="26">
        <v>1</v>
      </c>
      <c r="U6" s="26">
        <v>1</v>
      </c>
      <c r="V6" s="26">
        <v>1</v>
      </c>
      <c r="W6" s="26"/>
      <c r="X6" s="26"/>
      <c r="Y6" s="26"/>
      <c r="Z6" s="26">
        <v>1</v>
      </c>
      <c r="AA6" s="26"/>
      <c r="AB6" s="26"/>
    </row>
    <row r="7" spans="1:28" ht="11.25" customHeight="1" x14ac:dyDescent="0.25">
      <c r="A7" s="113"/>
      <c r="B7" s="28" t="s">
        <v>69</v>
      </c>
      <c r="C7" s="28" t="s">
        <v>25</v>
      </c>
      <c r="D7" s="28" t="s">
        <v>25</v>
      </c>
      <c r="E7" s="28" t="s">
        <v>25</v>
      </c>
      <c r="F7" s="28" t="s">
        <v>25</v>
      </c>
      <c r="G7" s="29" t="s">
        <v>70</v>
      </c>
      <c r="H7" s="29" t="s">
        <v>66</v>
      </c>
      <c r="I7" s="29">
        <f>'MERCADO TE'!$U$4</f>
        <v>0</v>
      </c>
      <c r="J7" s="15"/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/>
      <c r="R7" s="26">
        <v>1</v>
      </c>
      <c r="S7" s="26"/>
      <c r="T7" s="26">
        <v>1</v>
      </c>
      <c r="U7" s="26">
        <v>1</v>
      </c>
      <c r="V7" s="26">
        <v>1</v>
      </c>
      <c r="W7" s="26"/>
      <c r="X7" s="26"/>
      <c r="Y7" s="26"/>
      <c r="Z7" s="26">
        <v>1</v>
      </c>
      <c r="AA7" s="26"/>
      <c r="AB7" s="26"/>
    </row>
    <row r="8" spans="1:28" ht="11.25" customHeight="1" x14ac:dyDescent="0.25">
      <c r="A8" s="113" t="s">
        <v>22</v>
      </c>
      <c r="B8" s="113" t="s">
        <v>65</v>
      </c>
      <c r="C8" s="113" t="s">
        <v>24</v>
      </c>
      <c r="D8" s="113" t="s">
        <v>24</v>
      </c>
      <c r="E8" s="113" t="s">
        <v>25</v>
      </c>
      <c r="F8" s="113" t="s">
        <v>25</v>
      </c>
      <c r="G8" s="29" t="s">
        <v>67</v>
      </c>
      <c r="H8" s="29" t="s">
        <v>66</v>
      </c>
      <c r="I8" s="29">
        <f>'MERCADO TE'!$U$5</f>
        <v>0.22599999999999998</v>
      </c>
      <c r="J8" s="15"/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/>
      <c r="R8" s="26">
        <v>1</v>
      </c>
      <c r="S8" s="26"/>
      <c r="T8" s="26">
        <v>1</v>
      </c>
      <c r="U8" s="26">
        <v>1</v>
      </c>
      <c r="V8" s="26">
        <v>1</v>
      </c>
      <c r="W8" s="26"/>
      <c r="X8" s="26"/>
      <c r="Y8" s="26"/>
      <c r="Z8" s="26">
        <v>1</v>
      </c>
      <c r="AA8" s="26"/>
      <c r="AB8" s="26"/>
    </row>
    <row r="9" spans="1:28" ht="11.25" customHeight="1" x14ac:dyDescent="0.25">
      <c r="A9" s="113"/>
      <c r="B9" s="113"/>
      <c r="C9" s="113"/>
      <c r="D9" s="113"/>
      <c r="E9" s="113"/>
      <c r="F9" s="113"/>
      <c r="G9" s="29" t="s">
        <v>80</v>
      </c>
      <c r="H9" s="29" t="s">
        <v>66</v>
      </c>
      <c r="I9" s="29">
        <f>'MERCADO TE'!$U$6</f>
        <v>0.29500000000000004</v>
      </c>
      <c r="J9" s="15"/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/>
      <c r="R9" s="26">
        <v>1</v>
      </c>
      <c r="S9" s="26"/>
      <c r="T9" s="26">
        <v>1</v>
      </c>
      <c r="U9" s="26">
        <v>1</v>
      </c>
      <c r="V9" s="26">
        <v>1</v>
      </c>
      <c r="W9" s="26"/>
      <c r="X9" s="26"/>
      <c r="Y9" s="26"/>
      <c r="Z9" s="26">
        <v>1</v>
      </c>
      <c r="AA9" s="26"/>
      <c r="AB9" s="26"/>
    </row>
    <row r="10" spans="1:28" ht="11.25" customHeight="1" x14ac:dyDescent="0.25">
      <c r="A10" s="113"/>
      <c r="B10" s="113"/>
      <c r="C10" s="113"/>
      <c r="D10" s="113"/>
      <c r="E10" s="113"/>
      <c r="F10" s="113"/>
      <c r="G10" s="29" t="s">
        <v>68</v>
      </c>
      <c r="H10" s="29" t="s">
        <v>66</v>
      </c>
      <c r="I10" s="29">
        <f>'MERCADO TE'!$U$7</f>
        <v>2.2109999999999999</v>
      </c>
      <c r="J10" s="15"/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/>
      <c r="R10" s="26">
        <v>1</v>
      </c>
      <c r="S10" s="26"/>
      <c r="T10" s="26">
        <v>1</v>
      </c>
      <c r="U10" s="26">
        <v>1</v>
      </c>
      <c r="V10" s="26">
        <v>1</v>
      </c>
      <c r="W10" s="26"/>
      <c r="X10" s="26"/>
      <c r="Y10" s="26"/>
      <c r="Z10" s="26">
        <v>1</v>
      </c>
      <c r="AA10" s="26"/>
      <c r="AB10" s="26"/>
    </row>
    <row r="11" spans="1:28" ht="11.25" customHeight="1" x14ac:dyDescent="0.25">
      <c r="A11" s="113"/>
      <c r="B11" s="113" t="s">
        <v>69</v>
      </c>
      <c r="C11" s="113" t="s">
        <v>24</v>
      </c>
      <c r="D11" s="28" t="s">
        <v>24</v>
      </c>
      <c r="E11" s="28" t="s">
        <v>25</v>
      </c>
      <c r="F11" s="28" t="s">
        <v>25</v>
      </c>
      <c r="G11" s="29" t="s">
        <v>70</v>
      </c>
      <c r="H11" s="29" t="s">
        <v>66</v>
      </c>
      <c r="I11" s="29">
        <f>'MERCADO TE'!$U$8</f>
        <v>11826.234</v>
      </c>
      <c r="J11" s="15"/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/>
      <c r="R11" s="26">
        <v>1</v>
      </c>
      <c r="S11" s="26"/>
      <c r="T11" s="26">
        <v>1</v>
      </c>
      <c r="U11" s="26">
        <v>1</v>
      </c>
      <c r="V11" s="26">
        <v>1</v>
      </c>
      <c r="W11" s="26"/>
      <c r="X11" s="26"/>
      <c r="Y11" s="26"/>
      <c r="Z11" s="26">
        <v>1</v>
      </c>
      <c r="AA11" s="26"/>
      <c r="AB11" s="26"/>
    </row>
    <row r="12" spans="1:28" ht="11.25" customHeight="1" x14ac:dyDescent="0.25">
      <c r="A12" s="113"/>
      <c r="B12" s="113"/>
      <c r="C12" s="113"/>
      <c r="D12" s="28" t="s">
        <v>29</v>
      </c>
      <c r="E12" s="28" t="s">
        <v>25</v>
      </c>
      <c r="F12" s="28" t="s">
        <v>25</v>
      </c>
      <c r="G12" s="29" t="s">
        <v>70</v>
      </c>
      <c r="H12" s="29" t="s">
        <v>66</v>
      </c>
      <c r="I12" s="29">
        <f>'MERCADO TE'!$U$9</f>
        <v>111.53999999999999</v>
      </c>
      <c r="J12" s="15"/>
      <c r="L12" s="26">
        <f>1 - CUSTOS!$M$24</f>
        <v>1</v>
      </c>
      <c r="M12" s="26">
        <f>1 - CUSTOS!$M$24</f>
        <v>1</v>
      </c>
      <c r="N12" s="26">
        <f>1 - CUSTOS!$M$24</f>
        <v>1</v>
      </c>
      <c r="O12" s="26">
        <f>1 - CUSTOS!$M$24</f>
        <v>1</v>
      </c>
      <c r="P12" s="26">
        <f>1 - CUSTOS!$M$24</f>
        <v>1</v>
      </c>
      <c r="Q12" s="26"/>
      <c r="R12" s="26">
        <f>(1 - CUSTOS!$M$24)*1</f>
        <v>1</v>
      </c>
      <c r="S12" s="26"/>
      <c r="T12" s="26">
        <f>1 - CUSTOS!$M$24</f>
        <v>1</v>
      </c>
      <c r="U12" s="26">
        <f>1 - CUSTOS!$M$24</f>
        <v>1</v>
      </c>
      <c r="V12" s="26">
        <f>1 - CUSTOS!$M$24</f>
        <v>1</v>
      </c>
      <c r="W12" s="26"/>
      <c r="X12" s="26"/>
      <c r="Y12" s="26"/>
      <c r="Z12" s="26">
        <f>1 - CUSTOS!$M$24</f>
        <v>1</v>
      </c>
      <c r="AA12" s="26"/>
      <c r="AB12" s="26"/>
    </row>
    <row r="13" spans="1:28" ht="11.25" customHeight="1" x14ac:dyDescent="0.25">
      <c r="A13" s="113"/>
      <c r="B13" s="113"/>
      <c r="C13" s="113"/>
      <c r="D13" s="28" t="s">
        <v>30</v>
      </c>
      <c r="E13" s="28" t="s">
        <v>25</v>
      </c>
      <c r="F13" s="28" t="s">
        <v>25</v>
      </c>
      <c r="G13" s="29" t="s">
        <v>70</v>
      </c>
      <c r="H13" s="29" t="s">
        <v>66</v>
      </c>
      <c r="I13" s="29">
        <f>'MERCADO TE'!$U$10</f>
        <v>220.67500000000001</v>
      </c>
      <c r="J13" s="15"/>
      <c r="L13" s="26">
        <f>1 - CUSTOS!$M$25</f>
        <v>1</v>
      </c>
      <c r="M13" s="26">
        <f>1 - CUSTOS!$M$25</f>
        <v>1</v>
      </c>
      <c r="N13" s="26">
        <f>1 - CUSTOS!$M$25</f>
        <v>1</v>
      </c>
      <c r="O13" s="26">
        <f>1 - CUSTOS!$M$25</f>
        <v>1</v>
      </c>
      <c r="P13" s="26">
        <f>1 - CUSTOS!$M$25</f>
        <v>1</v>
      </c>
      <c r="Q13" s="26"/>
      <c r="R13" s="26">
        <f>(1 - CUSTOS!$M$25)*1</f>
        <v>1</v>
      </c>
      <c r="S13" s="26"/>
      <c r="T13" s="26">
        <f>1 - CUSTOS!$M$25</f>
        <v>1</v>
      </c>
      <c r="U13" s="26">
        <f>1 - CUSTOS!$M$25</f>
        <v>1</v>
      </c>
      <c r="V13" s="26">
        <f>1 - CUSTOS!$M$25</f>
        <v>1</v>
      </c>
      <c r="W13" s="26"/>
      <c r="X13" s="26"/>
      <c r="Y13" s="26"/>
      <c r="Z13" s="26">
        <f>1 - CUSTOS!$M$25</f>
        <v>1</v>
      </c>
      <c r="AA13" s="26"/>
      <c r="AB13" s="26"/>
    </row>
    <row r="14" spans="1:28" ht="11.25" customHeight="1" x14ac:dyDescent="0.25">
      <c r="A14" s="113"/>
      <c r="B14" s="113"/>
      <c r="C14" s="113"/>
      <c r="D14" s="28" t="s">
        <v>31</v>
      </c>
      <c r="E14" s="28" t="s">
        <v>25</v>
      </c>
      <c r="F14" s="28" t="s">
        <v>25</v>
      </c>
      <c r="G14" s="29" t="s">
        <v>70</v>
      </c>
      <c r="H14" s="29" t="s">
        <v>66</v>
      </c>
      <c r="I14" s="29">
        <f>'MERCADO TE'!$U$11</f>
        <v>205.22700000000003</v>
      </c>
      <c r="J14" s="15"/>
      <c r="L14" s="26">
        <f>1 - CUSTOS!$M$26</f>
        <v>1</v>
      </c>
      <c r="M14" s="26">
        <f>1 - CUSTOS!$M$26</f>
        <v>1</v>
      </c>
      <c r="N14" s="26">
        <f>1 - CUSTOS!$M$26</f>
        <v>1</v>
      </c>
      <c r="O14" s="26">
        <f>1 - CUSTOS!$M$26</f>
        <v>1</v>
      </c>
      <c r="P14" s="26">
        <f>1 - CUSTOS!$M$26</f>
        <v>1</v>
      </c>
      <c r="Q14" s="26"/>
      <c r="R14" s="26">
        <f>(1 - CUSTOS!$M$26)*1</f>
        <v>1</v>
      </c>
      <c r="S14" s="26"/>
      <c r="T14" s="26">
        <f>1 - CUSTOS!$M$26</f>
        <v>1</v>
      </c>
      <c r="U14" s="26">
        <f>1 - CUSTOS!$M$26</f>
        <v>1</v>
      </c>
      <c r="V14" s="26">
        <f>1 - CUSTOS!$M$26</f>
        <v>1</v>
      </c>
      <c r="W14" s="26"/>
      <c r="X14" s="26"/>
      <c r="Y14" s="26"/>
      <c r="Z14" s="26">
        <f>1 - CUSTOS!$M$26</f>
        <v>1</v>
      </c>
      <c r="AA14" s="26"/>
      <c r="AB14" s="26"/>
    </row>
    <row r="15" spans="1:28" ht="11.25" customHeight="1" x14ac:dyDescent="0.25">
      <c r="A15" s="113"/>
      <c r="B15" s="113"/>
      <c r="C15" s="113"/>
      <c r="D15" s="28" t="s">
        <v>32</v>
      </c>
      <c r="E15" s="28" t="s">
        <v>25</v>
      </c>
      <c r="F15" s="28" t="s">
        <v>25</v>
      </c>
      <c r="G15" s="29" t="s">
        <v>70</v>
      </c>
      <c r="H15" s="29" t="s">
        <v>66</v>
      </c>
      <c r="I15" s="29">
        <f>'MERCADO TE'!$U$12</f>
        <v>75.31</v>
      </c>
      <c r="J15" s="15"/>
      <c r="L15" s="26">
        <f>1 - CUSTOS!$M$27</f>
        <v>1</v>
      </c>
      <c r="M15" s="26">
        <f>1 - CUSTOS!$M$27</f>
        <v>1</v>
      </c>
      <c r="N15" s="26">
        <f>1 - CUSTOS!$M$27</f>
        <v>1</v>
      </c>
      <c r="O15" s="26">
        <f>1 - CUSTOS!$M$27</f>
        <v>1</v>
      </c>
      <c r="P15" s="26">
        <f>1 - CUSTOS!$M$27</f>
        <v>1</v>
      </c>
      <c r="Q15" s="26"/>
      <c r="R15" s="26">
        <f>(1 - CUSTOS!$M$27)*1</f>
        <v>1</v>
      </c>
      <c r="S15" s="26"/>
      <c r="T15" s="26">
        <f>1 - CUSTOS!$M$27</f>
        <v>1</v>
      </c>
      <c r="U15" s="26">
        <f>1 - CUSTOS!$M$27</f>
        <v>1</v>
      </c>
      <c r="V15" s="26">
        <f>1 - CUSTOS!$M$27</f>
        <v>1</v>
      </c>
      <c r="W15" s="26"/>
      <c r="X15" s="26"/>
      <c r="Y15" s="26"/>
      <c r="Z15" s="26">
        <f>1 - CUSTOS!$M$27</f>
        <v>1</v>
      </c>
      <c r="AA15" s="26"/>
      <c r="AB15" s="26"/>
    </row>
    <row r="16" spans="1:28" ht="11.25" customHeight="1" x14ac:dyDescent="0.25">
      <c r="A16" s="113"/>
      <c r="B16" s="113" t="s">
        <v>81</v>
      </c>
      <c r="C16" s="113" t="s">
        <v>24</v>
      </c>
      <c r="D16" s="28" t="s">
        <v>24</v>
      </c>
      <c r="E16" s="28" t="s">
        <v>25</v>
      </c>
      <c r="F16" s="28" t="s">
        <v>25</v>
      </c>
      <c r="G16" s="29" t="s">
        <v>70</v>
      </c>
      <c r="H16" s="29" t="s">
        <v>66</v>
      </c>
      <c r="I16" s="29">
        <f>'MERCADO TE'!$U$13</f>
        <v>0</v>
      </c>
      <c r="J16" s="15"/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/>
      <c r="R16" s="26">
        <v>1</v>
      </c>
      <c r="S16" s="26"/>
      <c r="T16" s="26">
        <v>1</v>
      </c>
      <c r="U16" s="26">
        <v>1</v>
      </c>
      <c r="V16" s="26">
        <v>1</v>
      </c>
      <c r="W16" s="26"/>
      <c r="X16" s="26"/>
      <c r="Y16" s="26"/>
      <c r="Z16" s="26">
        <v>1</v>
      </c>
      <c r="AA16" s="26"/>
      <c r="AB16" s="26"/>
    </row>
    <row r="17" spans="1:28" ht="11.25" customHeight="1" x14ac:dyDescent="0.25">
      <c r="A17" s="113"/>
      <c r="B17" s="113"/>
      <c r="C17" s="113"/>
      <c r="D17" s="28" t="s">
        <v>29</v>
      </c>
      <c r="E17" s="28" t="s">
        <v>25</v>
      </c>
      <c r="F17" s="28" t="s">
        <v>25</v>
      </c>
      <c r="G17" s="29" t="s">
        <v>70</v>
      </c>
      <c r="H17" s="29" t="s">
        <v>66</v>
      </c>
      <c r="I17" s="29">
        <f>'MERCADO TE'!$U$14</f>
        <v>0</v>
      </c>
      <c r="J17" s="15"/>
      <c r="L17" s="26">
        <f>1 - CUSTOS!$M$24</f>
        <v>1</v>
      </c>
      <c r="M17" s="26">
        <f>1 - CUSTOS!$M$24</f>
        <v>1</v>
      </c>
      <c r="N17" s="26">
        <f>1 - CUSTOS!$M$24</f>
        <v>1</v>
      </c>
      <c r="O17" s="26">
        <f>1 - CUSTOS!$M$24</f>
        <v>1</v>
      </c>
      <c r="P17" s="26">
        <f>1 - CUSTOS!$M$24</f>
        <v>1</v>
      </c>
      <c r="Q17" s="26"/>
      <c r="R17" s="26">
        <f>(1 - CUSTOS!$M$24)*1</f>
        <v>1</v>
      </c>
      <c r="S17" s="26"/>
      <c r="T17" s="26">
        <f>1 - CUSTOS!$M$24</f>
        <v>1</v>
      </c>
      <c r="U17" s="26">
        <f>1 - CUSTOS!$M$24</f>
        <v>1</v>
      </c>
      <c r="V17" s="26">
        <f>1 - CUSTOS!$M$24</f>
        <v>1</v>
      </c>
      <c r="W17" s="26"/>
      <c r="X17" s="26"/>
      <c r="Y17" s="26"/>
      <c r="Z17" s="26">
        <f>1 - CUSTOS!$M$24</f>
        <v>1</v>
      </c>
      <c r="AA17" s="26"/>
      <c r="AB17" s="26"/>
    </row>
    <row r="18" spans="1:28" ht="11.25" customHeight="1" x14ac:dyDescent="0.25">
      <c r="A18" s="113"/>
      <c r="B18" s="113"/>
      <c r="C18" s="113"/>
      <c r="D18" s="28" t="s">
        <v>30</v>
      </c>
      <c r="E18" s="28" t="s">
        <v>25</v>
      </c>
      <c r="F18" s="28" t="s">
        <v>25</v>
      </c>
      <c r="G18" s="29" t="s">
        <v>70</v>
      </c>
      <c r="H18" s="29" t="s">
        <v>66</v>
      </c>
      <c r="I18" s="29">
        <f>'MERCADO TE'!$U$15</f>
        <v>0</v>
      </c>
      <c r="J18" s="15"/>
      <c r="L18" s="26">
        <f>1 - CUSTOS!$M$25</f>
        <v>1</v>
      </c>
      <c r="M18" s="26">
        <f>1 - CUSTOS!$M$25</f>
        <v>1</v>
      </c>
      <c r="N18" s="26">
        <f>1 - CUSTOS!$M$25</f>
        <v>1</v>
      </c>
      <c r="O18" s="26">
        <f>1 - CUSTOS!$M$25</f>
        <v>1</v>
      </c>
      <c r="P18" s="26">
        <f>1 - CUSTOS!$M$25</f>
        <v>1</v>
      </c>
      <c r="Q18" s="26"/>
      <c r="R18" s="26">
        <f>(1 - CUSTOS!$M$25)*1</f>
        <v>1</v>
      </c>
      <c r="S18" s="26"/>
      <c r="T18" s="26">
        <f>1 - CUSTOS!$M$25</f>
        <v>1</v>
      </c>
      <c r="U18" s="26">
        <f>1 - CUSTOS!$M$25</f>
        <v>1</v>
      </c>
      <c r="V18" s="26">
        <f>1 - CUSTOS!$M$25</f>
        <v>1</v>
      </c>
      <c r="W18" s="26"/>
      <c r="X18" s="26"/>
      <c r="Y18" s="26"/>
      <c r="Z18" s="26">
        <f>1 - CUSTOS!$M$25</f>
        <v>1</v>
      </c>
      <c r="AA18" s="26"/>
      <c r="AB18" s="26"/>
    </row>
    <row r="19" spans="1:28" ht="11.25" customHeight="1" x14ac:dyDescent="0.25">
      <c r="A19" s="113"/>
      <c r="B19" s="113"/>
      <c r="C19" s="113"/>
      <c r="D19" s="28" t="s">
        <v>31</v>
      </c>
      <c r="E19" s="28" t="s">
        <v>25</v>
      </c>
      <c r="F19" s="28" t="s">
        <v>25</v>
      </c>
      <c r="G19" s="29" t="s">
        <v>70</v>
      </c>
      <c r="H19" s="29" t="s">
        <v>66</v>
      </c>
      <c r="I19" s="29">
        <f>'MERCADO TE'!$U$16</f>
        <v>0</v>
      </c>
      <c r="J19" s="15"/>
      <c r="L19" s="26">
        <f>1 - CUSTOS!$M$26</f>
        <v>1</v>
      </c>
      <c r="M19" s="26">
        <f>1 - CUSTOS!$M$26</f>
        <v>1</v>
      </c>
      <c r="N19" s="26">
        <f>1 - CUSTOS!$M$26</f>
        <v>1</v>
      </c>
      <c r="O19" s="26">
        <f>1 - CUSTOS!$M$26</f>
        <v>1</v>
      </c>
      <c r="P19" s="26">
        <f>1 - CUSTOS!$M$26</f>
        <v>1</v>
      </c>
      <c r="Q19" s="26"/>
      <c r="R19" s="26">
        <f>(1 - CUSTOS!$M$26)*1</f>
        <v>1</v>
      </c>
      <c r="S19" s="26"/>
      <c r="T19" s="26">
        <f>1 - CUSTOS!$M$26</f>
        <v>1</v>
      </c>
      <c r="U19" s="26">
        <f>1 - CUSTOS!$M$26</f>
        <v>1</v>
      </c>
      <c r="V19" s="26">
        <f>1 - CUSTOS!$M$26</f>
        <v>1</v>
      </c>
      <c r="W19" s="26"/>
      <c r="X19" s="26"/>
      <c r="Y19" s="26"/>
      <c r="Z19" s="26">
        <f>1 - CUSTOS!$M$26</f>
        <v>1</v>
      </c>
      <c r="AA19" s="26"/>
      <c r="AB19" s="26"/>
    </row>
    <row r="20" spans="1:28" ht="11.25" customHeight="1" x14ac:dyDescent="0.25">
      <c r="A20" s="113"/>
      <c r="B20" s="113"/>
      <c r="C20" s="113"/>
      <c r="D20" s="28" t="s">
        <v>32</v>
      </c>
      <c r="E20" s="28" t="s">
        <v>25</v>
      </c>
      <c r="F20" s="28" t="s">
        <v>25</v>
      </c>
      <c r="G20" s="29" t="s">
        <v>70</v>
      </c>
      <c r="H20" s="29" t="s">
        <v>66</v>
      </c>
      <c r="I20" s="29">
        <f>'MERCADO TE'!$U$17</f>
        <v>0</v>
      </c>
      <c r="J20" s="15"/>
      <c r="L20" s="26">
        <f>1 - CUSTOS!$M$27</f>
        <v>1</v>
      </c>
      <c r="M20" s="26">
        <f>1 - CUSTOS!$M$27</f>
        <v>1</v>
      </c>
      <c r="N20" s="26">
        <f>1 - CUSTOS!$M$27</f>
        <v>1</v>
      </c>
      <c r="O20" s="26">
        <f>1 - CUSTOS!$M$27</f>
        <v>1</v>
      </c>
      <c r="P20" s="26">
        <f>1 - CUSTOS!$M$27</f>
        <v>1</v>
      </c>
      <c r="Q20" s="26"/>
      <c r="R20" s="26">
        <f>(1 - CUSTOS!$M$27)*1</f>
        <v>1</v>
      </c>
      <c r="S20" s="26"/>
      <c r="T20" s="26">
        <f>1 - CUSTOS!$M$27</f>
        <v>1</v>
      </c>
      <c r="U20" s="26">
        <f>1 - CUSTOS!$M$27</f>
        <v>1</v>
      </c>
      <c r="V20" s="26">
        <f>1 - CUSTOS!$M$27</f>
        <v>1</v>
      </c>
      <c r="W20" s="26"/>
      <c r="X20" s="26"/>
      <c r="Y20" s="26"/>
      <c r="Z20" s="26">
        <f>1 - CUSTOS!$M$27</f>
        <v>1</v>
      </c>
      <c r="AA20" s="26"/>
      <c r="AB20" s="26"/>
    </row>
    <row r="21" spans="1:28" ht="11.25" customHeight="1" x14ac:dyDescent="0.25">
      <c r="A21" s="113" t="s">
        <v>41</v>
      </c>
      <c r="B21" s="113" t="s">
        <v>65</v>
      </c>
      <c r="C21" s="113" t="s">
        <v>42</v>
      </c>
      <c r="D21" s="113" t="s">
        <v>25</v>
      </c>
      <c r="E21" s="113" t="s">
        <v>25</v>
      </c>
      <c r="F21" s="113" t="s">
        <v>25</v>
      </c>
      <c r="G21" s="29" t="s">
        <v>67</v>
      </c>
      <c r="H21" s="29" t="s">
        <v>66</v>
      </c>
      <c r="I21" s="29">
        <f>'MERCADO TE'!$U$18</f>
        <v>0</v>
      </c>
      <c r="J21" s="15"/>
      <c r="L21" s="26">
        <f>1 - CUSTOS!$M$28</f>
        <v>1</v>
      </c>
      <c r="M21" s="26">
        <f>1 - CUSTOS!$M$28</f>
        <v>1</v>
      </c>
      <c r="N21" s="26">
        <f>1 - CUSTOS!$M$28</f>
        <v>1</v>
      </c>
      <c r="O21" s="26">
        <f>1 - CUSTOS!$M$28</f>
        <v>1</v>
      </c>
      <c r="P21" s="26">
        <f>1 - CUSTOS!$M$28</f>
        <v>1</v>
      </c>
      <c r="Q21" s="26"/>
      <c r="R21" s="26">
        <f>(1 - CUSTOS!$M$28)*1</f>
        <v>1</v>
      </c>
      <c r="S21" s="26"/>
      <c r="T21" s="26">
        <f>1 - CUSTOS!$M$28</f>
        <v>1</v>
      </c>
      <c r="U21" s="26">
        <f>1 - CUSTOS!$M$28</f>
        <v>1</v>
      </c>
      <c r="V21" s="26">
        <f>1 - CUSTOS!$M$28</f>
        <v>1</v>
      </c>
      <c r="W21" s="26"/>
      <c r="X21" s="26"/>
      <c r="Y21" s="26"/>
      <c r="Z21" s="26">
        <f>1 - CUSTOS!$M$28</f>
        <v>1</v>
      </c>
      <c r="AA21" s="26"/>
      <c r="AB21" s="26"/>
    </row>
    <row r="22" spans="1:28" ht="11.25" customHeight="1" x14ac:dyDescent="0.25">
      <c r="A22" s="113"/>
      <c r="B22" s="113"/>
      <c r="C22" s="113"/>
      <c r="D22" s="113"/>
      <c r="E22" s="113"/>
      <c r="F22" s="113"/>
      <c r="G22" s="29" t="s">
        <v>80</v>
      </c>
      <c r="H22" s="29" t="s">
        <v>66</v>
      </c>
      <c r="I22" s="29">
        <f>'MERCADO TE'!$U$19</f>
        <v>0</v>
      </c>
      <c r="J22" s="15"/>
      <c r="L22" s="26">
        <f>1 - CUSTOS!$M$28</f>
        <v>1</v>
      </c>
      <c r="M22" s="26">
        <f>1 - CUSTOS!$M$28</f>
        <v>1</v>
      </c>
      <c r="N22" s="26">
        <f>1 - CUSTOS!$M$28</f>
        <v>1</v>
      </c>
      <c r="O22" s="26">
        <f>1 - CUSTOS!$M$28</f>
        <v>1</v>
      </c>
      <c r="P22" s="26">
        <f>1 - CUSTOS!$M$28</f>
        <v>1</v>
      </c>
      <c r="Q22" s="26"/>
      <c r="R22" s="26">
        <f>(1 - CUSTOS!$M$28)*1</f>
        <v>1</v>
      </c>
      <c r="S22" s="26"/>
      <c r="T22" s="26">
        <f>1 - CUSTOS!$M$28</f>
        <v>1</v>
      </c>
      <c r="U22" s="26">
        <f>1 - CUSTOS!$M$28</f>
        <v>1</v>
      </c>
      <c r="V22" s="26">
        <f>1 - CUSTOS!$M$28</f>
        <v>1</v>
      </c>
      <c r="W22" s="26"/>
      <c r="X22" s="26"/>
      <c r="Y22" s="26"/>
      <c r="Z22" s="26">
        <f>1 - CUSTOS!$M$28</f>
        <v>1</v>
      </c>
      <c r="AA22" s="26"/>
      <c r="AB22" s="26"/>
    </row>
    <row r="23" spans="1:28" ht="11.25" customHeight="1" x14ac:dyDescent="0.25">
      <c r="A23" s="113"/>
      <c r="B23" s="113"/>
      <c r="C23" s="113"/>
      <c r="D23" s="113"/>
      <c r="E23" s="113"/>
      <c r="F23" s="113"/>
      <c r="G23" s="29" t="s">
        <v>68</v>
      </c>
      <c r="H23" s="29" t="s">
        <v>66</v>
      </c>
      <c r="I23" s="29">
        <f>'MERCADO TE'!$U$20</f>
        <v>0</v>
      </c>
      <c r="J23" s="15"/>
      <c r="L23" s="26">
        <f>1 - CUSTOS!$M$28</f>
        <v>1</v>
      </c>
      <c r="M23" s="26">
        <f>1 - CUSTOS!$M$28</f>
        <v>1</v>
      </c>
      <c r="N23" s="26">
        <f>1 - CUSTOS!$M$28</f>
        <v>1</v>
      </c>
      <c r="O23" s="26">
        <f>1 - CUSTOS!$M$28</f>
        <v>1</v>
      </c>
      <c r="P23" s="26">
        <f>1 - CUSTOS!$M$28</f>
        <v>1</v>
      </c>
      <c r="Q23" s="26"/>
      <c r="R23" s="26">
        <f>(1 - CUSTOS!$M$28)*1</f>
        <v>1</v>
      </c>
      <c r="S23" s="26"/>
      <c r="T23" s="26">
        <f>1 - CUSTOS!$M$28</f>
        <v>1</v>
      </c>
      <c r="U23" s="26">
        <f>1 - CUSTOS!$M$28</f>
        <v>1</v>
      </c>
      <c r="V23" s="26">
        <f>1 - CUSTOS!$M$28</f>
        <v>1</v>
      </c>
      <c r="W23" s="26"/>
      <c r="X23" s="26"/>
      <c r="Y23" s="26"/>
      <c r="Z23" s="26">
        <f>1 - CUSTOS!$M$28</f>
        <v>1</v>
      </c>
      <c r="AA23" s="26"/>
      <c r="AB23" s="26"/>
    </row>
    <row r="24" spans="1:28" ht="11.25" customHeight="1" x14ac:dyDescent="0.25">
      <c r="A24" s="113"/>
      <c r="B24" s="28" t="s">
        <v>69</v>
      </c>
      <c r="C24" s="28" t="s">
        <v>42</v>
      </c>
      <c r="D24" s="28" t="s">
        <v>25</v>
      </c>
      <c r="E24" s="28" t="s">
        <v>25</v>
      </c>
      <c r="F24" s="28" t="s">
        <v>25</v>
      </c>
      <c r="G24" s="29" t="s">
        <v>70</v>
      </c>
      <c r="H24" s="29" t="s">
        <v>66</v>
      </c>
      <c r="I24" s="29">
        <f>'MERCADO TE'!$U$21</f>
        <v>674.72400000000005</v>
      </c>
      <c r="J24" s="15"/>
      <c r="L24" s="26">
        <f>1 - CUSTOS!$M$28</f>
        <v>1</v>
      </c>
      <c r="M24" s="26">
        <f>1 - CUSTOS!$M$28</f>
        <v>1</v>
      </c>
      <c r="N24" s="26">
        <f>1 - CUSTOS!$M$28</f>
        <v>1</v>
      </c>
      <c r="O24" s="26">
        <f>1 - CUSTOS!$M$28</f>
        <v>1</v>
      </c>
      <c r="P24" s="26">
        <f>1 - CUSTOS!$M$28</f>
        <v>1</v>
      </c>
      <c r="Q24" s="26"/>
      <c r="R24" s="26">
        <f>(1 - CUSTOS!$M$28)*1</f>
        <v>1</v>
      </c>
      <c r="S24" s="26"/>
      <c r="T24" s="26">
        <f>1 - CUSTOS!$M$28</f>
        <v>1</v>
      </c>
      <c r="U24" s="26">
        <f>1 - CUSTOS!$M$28</f>
        <v>1</v>
      </c>
      <c r="V24" s="26">
        <f>1 - CUSTOS!$M$28</f>
        <v>1</v>
      </c>
      <c r="W24" s="26"/>
      <c r="X24" s="26"/>
      <c r="Y24" s="26"/>
      <c r="Z24" s="26">
        <f>1 - CUSTOS!$M$28</f>
        <v>1</v>
      </c>
      <c r="AA24" s="26"/>
      <c r="AB24" s="26"/>
    </row>
    <row r="25" spans="1:28" ht="11.25" customHeight="1" x14ac:dyDescent="0.25">
      <c r="A25" s="113"/>
      <c r="B25" s="113" t="s">
        <v>65</v>
      </c>
      <c r="C25" s="113" t="s">
        <v>42</v>
      </c>
      <c r="D25" s="113" t="s">
        <v>83</v>
      </c>
      <c r="E25" s="113" t="s">
        <v>25</v>
      </c>
      <c r="F25" s="113" t="s">
        <v>25</v>
      </c>
      <c r="G25" s="29" t="s">
        <v>67</v>
      </c>
      <c r="H25" s="29" t="s">
        <v>66</v>
      </c>
      <c r="I25" s="29">
        <f>'MERCADO TE'!$U$22</f>
        <v>0</v>
      </c>
      <c r="J25" s="15"/>
      <c r="L25" s="26">
        <f>1 - CUSTOS!$M$29</f>
        <v>1</v>
      </c>
      <c r="M25" s="26">
        <f>1 - CUSTOS!$M$29</f>
        <v>1</v>
      </c>
      <c r="N25" s="26">
        <f>1 - CUSTOS!$M$29</f>
        <v>1</v>
      </c>
      <c r="O25" s="26">
        <f>1 - CUSTOS!$M$29</f>
        <v>1</v>
      </c>
      <c r="P25" s="26">
        <f>1 - CUSTOS!$M$29</f>
        <v>1</v>
      </c>
      <c r="Q25" s="26"/>
      <c r="R25" s="26">
        <f>(1 - CUSTOS!$M$29)*1</f>
        <v>1</v>
      </c>
      <c r="S25" s="26"/>
      <c r="T25" s="26">
        <f>1 - CUSTOS!$M$29</f>
        <v>1</v>
      </c>
      <c r="U25" s="26">
        <f>1 - CUSTOS!$M$29</f>
        <v>1</v>
      </c>
      <c r="V25" s="26">
        <f>1 - CUSTOS!$M$29</f>
        <v>1</v>
      </c>
      <c r="W25" s="26"/>
      <c r="X25" s="26"/>
      <c r="Y25" s="26"/>
      <c r="Z25" s="26">
        <f>1 - CUSTOS!$M$29</f>
        <v>1</v>
      </c>
      <c r="AA25" s="26"/>
      <c r="AB25" s="26"/>
    </row>
    <row r="26" spans="1:28" ht="11.25" customHeight="1" x14ac:dyDescent="0.25">
      <c r="A26" s="113"/>
      <c r="B26" s="113"/>
      <c r="C26" s="113"/>
      <c r="D26" s="113"/>
      <c r="E26" s="113"/>
      <c r="F26" s="113"/>
      <c r="G26" s="29" t="s">
        <v>80</v>
      </c>
      <c r="H26" s="29" t="s">
        <v>66</v>
      </c>
      <c r="I26" s="29">
        <f>'MERCADO TE'!$U$23</f>
        <v>0</v>
      </c>
      <c r="J26" s="15"/>
      <c r="L26" s="26">
        <f>1 - CUSTOS!$M$29</f>
        <v>1</v>
      </c>
      <c r="M26" s="26">
        <f>1 - CUSTOS!$M$29</f>
        <v>1</v>
      </c>
      <c r="N26" s="26">
        <f>1 - CUSTOS!$M$29</f>
        <v>1</v>
      </c>
      <c r="O26" s="26">
        <f>1 - CUSTOS!$M$29</f>
        <v>1</v>
      </c>
      <c r="P26" s="26">
        <f>1 - CUSTOS!$M$29</f>
        <v>1</v>
      </c>
      <c r="Q26" s="26"/>
      <c r="R26" s="26">
        <f>(1 - CUSTOS!$M$29)*1</f>
        <v>1</v>
      </c>
      <c r="S26" s="26"/>
      <c r="T26" s="26">
        <f>1 - CUSTOS!$M$29</f>
        <v>1</v>
      </c>
      <c r="U26" s="26">
        <f>1 - CUSTOS!$M$29</f>
        <v>1</v>
      </c>
      <c r="V26" s="26">
        <f>1 - CUSTOS!$M$29</f>
        <v>1</v>
      </c>
      <c r="W26" s="26"/>
      <c r="X26" s="26"/>
      <c r="Y26" s="26"/>
      <c r="Z26" s="26">
        <f>1 - CUSTOS!$M$29</f>
        <v>1</v>
      </c>
      <c r="AA26" s="26"/>
      <c r="AB26" s="26"/>
    </row>
    <row r="27" spans="1:28" ht="11.25" customHeight="1" x14ac:dyDescent="0.25">
      <c r="A27" s="113"/>
      <c r="B27" s="113"/>
      <c r="C27" s="113"/>
      <c r="D27" s="113"/>
      <c r="E27" s="113"/>
      <c r="F27" s="113"/>
      <c r="G27" s="29" t="s">
        <v>68</v>
      </c>
      <c r="H27" s="29" t="s">
        <v>66</v>
      </c>
      <c r="I27" s="29">
        <f>'MERCADO TE'!$U$24</f>
        <v>0</v>
      </c>
      <c r="J27" s="15"/>
      <c r="L27" s="26">
        <f>1 - CUSTOS!$M$29</f>
        <v>1</v>
      </c>
      <c r="M27" s="26">
        <f>1 - CUSTOS!$M$29</f>
        <v>1</v>
      </c>
      <c r="N27" s="26">
        <f>1 - CUSTOS!$M$29</f>
        <v>1</v>
      </c>
      <c r="O27" s="26">
        <f>1 - CUSTOS!$M$29</f>
        <v>1</v>
      </c>
      <c r="P27" s="26">
        <f>1 - CUSTOS!$M$29</f>
        <v>1</v>
      </c>
      <c r="Q27" s="26"/>
      <c r="R27" s="26">
        <f>(1 - CUSTOS!$M$29)*1</f>
        <v>1</v>
      </c>
      <c r="S27" s="26"/>
      <c r="T27" s="26">
        <f>1 - CUSTOS!$M$29</f>
        <v>1</v>
      </c>
      <c r="U27" s="26">
        <f>1 - CUSTOS!$M$29</f>
        <v>1</v>
      </c>
      <c r="V27" s="26">
        <f>1 - CUSTOS!$M$29</f>
        <v>1</v>
      </c>
      <c r="W27" s="26"/>
      <c r="X27" s="26"/>
      <c r="Y27" s="26"/>
      <c r="Z27" s="26">
        <f>1 - CUSTOS!$M$29</f>
        <v>1</v>
      </c>
      <c r="AA27" s="26"/>
      <c r="AB27" s="26"/>
    </row>
    <row r="28" spans="1:28" ht="11.25" customHeight="1" x14ac:dyDescent="0.25">
      <c r="A28" s="113"/>
      <c r="B28" s="28" t="s">
        <v>69</v>
      </c>
      <c r="C28" s="28" t="s">
        <v>42</v>
      </c>
      <c r="D28" s="28" t="s">
        <v>83</v>
      </c>
      <c r="E28" s="28" t="s">
        <v>25</v>
      </c>
      <c r="F28" s="28" t="s">
        <v>25</v>
      </c>
      <c r="G28" s="29" t="s">
        <v>70</v>
      </c>
      <c r="H28" s="29" t="s">
        <v>66</v>
      </c>
      <c r="I28" s="29">
        <f>'MERCADO TE'!$U$25</f>
        <v>0</v>
      </c>
      <c r="J28" s="15"/>
      <c r="L28" s="26">
        <f>1 - CUSTOS!$M$29</f>
        <v>1</v>
      </c>
      <c r="M28" s="26">
        <f>1 - CUSTOS!$M$29</f>
        <v>1</v>
      </c>
      <c r="N28" s="26">
        <f>1 - CUSTOS!$M$29</f>
        <v>1</v>
      </c>
      <c r="O28" s="26">
        <f>1 - CUSTOS!$M$29</f>
        <v>1</v>
      </c>
      <c r="P28" s="26">
        <f>1 - CUSTOS!$M$29</f>
        <v>1</v>
      </c>
      <c r="Q28" s="26"/>
      <c r="R28" s="26">
        <f>(1 - CUSTOS!$M$29)*1</f>
        <v>1</v>
      </c>
      <c r="S28" s="26"/>
      <c r="T28" s="26">
        <f>1 - CUSTOS!$M$29</f>
        <v>1</v>
      </c>
      <c r="U28" s="26">
        <f>1 - CUSTOS!$M$29</f>
        <v>1</v>
      </c>
      <c r="V28" s="26">
        <f>1 - CUSTOS!$M$29</f>
        <v>1</v>
      </c>
      <c r="W28" s="26"/>
      <c r="X28" s="26"/>
      <c r="Y28" s="26"/>
      <c r="Z28" s="26">
        <f>1 - CUSTOS!$M$29</f>
        <v>1</v>
      </c>
      <c r="AA28" s="26"/>
      <c r="AB28" s="26"/>
    </row>
    <row r="29" spans="1:28" ht="11.25" customHeight="1" x14ac:dyDescent="0.25">
      <c r="A29" s="113"/>
      <c r="B29" s="113" t="s">
        <v>65</v>
      </c>
      <c r="C29" s="113" t="s">
        <v>42</v>
      </c>
      <c r="D29" s="113" t="s">
        <v>84</v>
      </c>
      <c r="E29" s="113" t="s">
        <v>25</v>
      </c>
      <c r="F29" s="113" t="s">
        <v>25</v>
      </c>
      <c r="G29" s="29" t="s">
        <v>67</v>
      </c>
      <c r="H29" s="29" t="s">
        <v>66</v>
      </c>
      <c r="I29" s="29">
        <f>'MERCADO TE'!$U$26</f>
        <v>0</v>
      </c>
      <c r="J29" s="15"/>
      <c r="L29" s="26">
        <f>1 - CUSTOS!$M$30</f>
        <v>1</v>
      </c>
      <c r="M29" s="26">
        <f>1 - CUSTOS!$M$30</f>
        <v>1</v>
      </c>
      <c r="N29" s="26">
        <f>1 - CUSTOS!$M$30</f>
        <v>1</v>
      </c>
      <c r="O29" s="26">
        <f>1 - CUSTOS!$M$30</f>
        <v>1</v>
      </c>
      <c r="P29" s="26">
        <f>1 - CUSTOS!$M$30</f>
        <v>1</v>
      </c>
      <c r="Q29" s="26"/>
      <c r="R29" s="26">
        <f>(1 - CUSTOS!$M$30)*1</f>
        <v>1</v>
      </c>
      <c r="S29" s="26"/>
      <c r="T29" s="26">
        <f>1 - CUSTOS!$M$30</f>
        <v>1</v>
      </c>
      <c r="U29" s="26">
        <f>1 - CUSTOS!$M$30</f>
        <v>1</v>
      </c>
      <c r="V29" s="26">
        <f>1 - CUSTOS!$M$30</f>
        <v>1</v>
      </c>
      <c r="W29" s="26"/>
      <c r="X29" s="26"/>
      <c r="Y29" s="26"/>
      <c r="Z29" s="26">
        <f>1 - CUSTOS!$M$30</f>
        <v>1</v>
      </c>
      <c r="AA29" s="26"/>
      <c r="AB29" s="26"/>
    </row>
    <row r="30" spans="1:28" ht="11.25" customHeight="1" x14ac:dyDescent="0.25">
      <c r="A30" s="113"/>
      <c r="B30" s="113"/>
      <c r="C30" s="113"/>
      <c r="D30" s="113"/>
      <c r="E30" s="113"/>
      <c r="F30" s="113"/>
      <c r="G30" s="29" t="s">
        <v>80</v>
      </c>
      <c r="H30" s="29" t="s">
        <v>66</v>
      </c>
      <c r="I30" s="29">
        <f>'MERCADO TE'!$U$27</f>
        <v>0</v>
      </c>
      <c r="J30" s="15"/>
      <c r="L30" s="26">
        <f>1 - CUSTOS!$M$30</f>
        <v>1</v>
      </c>
      <c r="M30" s="26">
        <f>1 - CUSTOS!$M$30</f>
        <v>1</v>
      </c>
      <c r="N30" s="26">
        <f>1 - CUSTOS!$M$30</f>
        <v>1</v>
      </c>
      <c r="O30" s="26">
        <f>1 - CUSTOS!$M$30</f>
        <v>1</v>
      </c>
      <c r="P30" s="26">
        <f>1 - CUSTOS!$M$30</f>
        <v>1</v>
      </c>
      <c r="Q30" s="26"/>
      <c r="R30" s="26">
        <f>(1 - CUSTOS!$M$30)*1</f>
        <v>1</v>
      </c>
      <c r="S30" s="26"/>
      <c r="T30" s="26">
        <f>1 - CUSTOS!$M$30</f>
        <v>1</v>
      </c>
      <c r="U30" s="26">
        <f>1 - CUSTOS!$M$30</f>
        <v>1</v>
      </c>
      <c r="V30" s="26">
        <f>1 - CUSTOS!$M$30</f>
        <v>1</v>
      </c>
      <c r="W30" s="26"/>
      <c r="X30" s="26"/>
      <c r="Y30" s="26"/>
      <c r="Z30" s="26">
        <f>1 - CUSTOS!$M$30</f>
        <v>1</v>
      </c>
      <c r="AA30" s="26"/>
      <c r="AB30" s="26"/>
    </row>
    <row r="31" spans="1:28" ht="11.25" customHeight="1" x14ac:dyDescent="0.25">
      <c r="A31" s="113"/>
      <c r="B31" s="113"/>
      <c r="C31" s="113"/>
      <c r="D31" s="113"/>
      <c r="E31" s="113"/>
      <c r="F31" s="113"/>
      <c r="G31" s="29" t="s">
        <v>68</v>
      </c>
      <c r="H31" s="29" t="s">
        <v>66</v>
      </c>
      <c r="I31" s="29">
        <f>'MERCADO TE'!$U$28</f>
        <v>0</v>
      </c>
      <c r="J31" s="15"/>
      <c r="L31" s="26">
        <f>1 - CUSTOS!$M$30</f>
        <v>1</v>
      </c>
      <c r="M31" s="26">
        <f>1 - CUSTOS!$M$30</f>
        <v>1</v>
      </c>
      <c r="N31" s="26">
        <f>1 - CUSTOS!$M$30</f>
        <v>1</v>
      </c>
      <c r="O31" s="26">
        <f>1 - CUSTOS!$M$30</f>
        <v>1</v>
      </c>
      <c r="P31" s="26">
        <f>1 - CUSTOS!$M$30</f>
        <v>1</v>
      </c>
      <c r="Q31" s="26"/>
      <c r="R31" s="26">
        <f>(1 - CUSTOS!$M$30)*1</f>
        <v>1</v>
      </c>
      <c r="S31" s="26"/>
      <c r="T31" s="26">
        <f>1 - CUSTOS!$M$30</f>
        <v>1</v>
      </c>
      <c r="U31" s="26">
        <f>1 - CUSTOS!$M$30</f>
        <v>1</v>
      </c>
      <c r="V31" s="26">
        <f>1 - CUSTOS!$M$30</f>
        <v>1</v>
      </c>
      <c r="W31" s="26"/>
      <c r="X31" s="26"/>
      <c r="Y31" s="26"/>
      <c r="Z31" s="26">
        <f>1 - CUSTOS!$M$30</f>
        <v>1</v>
      </c>
      <c r="AA31" s="26"/>
      <c r="AB31" s="26"/>
    </row>
    <row r="32" spans="1:28" ht="11.25" customHeight="1" x14ac:dyDescent="0.25">
      <c r="A32" s="113"/>
      <c r="B32" s="28" t="s">
        <v>69</v>
      </c>
      <c r="C32" s="28" t="s">
        <v>42</v>
      </c>
      <c r="D32" s="28" t="s">
        <v>84</v>
      </c>
      <c r="E32" s="28" t="s">
        <v>25</v>
      </c>
      <c r="F32" s="28" t="s">
        <v>25</v>
      </c>
      <c r="G32" s="29" t="s">
        <v>70</v>
      </c>
      <c r="H32" s="29" t="s">
        <v>66</v>
      </c>
      <c r="I32" s="29">
        <f>'MERCADO TE'!$U$29</f>
        <v>0</v>
      </c>
      <c r="J32" s="15"/>
      <c r="L32" s="26">
        <f>1 - CUSTOS!$M$30</f>
        <v>1</v>
      </c>
      <c r="M32" s="26">
        <f>1 - CUSTOS!$M$30</f>
        <v>1</v>
      </c>
      <c r="N32" s="26">
        <f>1 - CUSTOS!$M$30</f>
        <v>1</v>
      </c>
      <c r="O32" s="26">
        <f>1 - CUSTOS!$M$30</f>
        <v>1</v>
      </c>
      <c r="P32" s="26">
        <f>1 - CUSTOS!$M$30</f>
        <v>1</v>
      </c>
      <c r="Q32" s="26"/>
      <c r="R32" s="26">
        <f>(1 - CUSTOS!$M$30)*1</f>
        <v>1</v>
      </c>
      <c r="S32" s="26"/>
      <c r="T32" s="26">
        <f>1 - CUSTOS!$M$30</f>
        <v>1</v>
      </c>
      <c r="U32" s="26">
        <f>1 - CUSTOS!$M$30</f>
        <v>1</v>
      </c>
      <c r="V32" s="26">
        <f>1 - CUSTOS!$M$30</f>
        <v>1</v>
      </c>
      <c r="W32" s="26"/>
      <c r="X32" s="26"/>
      <c r="Y32" s="26"/>
      <c r="Z32" s="26">
        <f>1 - CUSTOS!$M$30</f>
        <v>1</v>
      </c>
      <c r="AA32" s="26"/>
      <c r="AB32" s="26"/>
    </row>
    <row r="33" spans="1:28" ht="11.25" customHeight="1" x14ac:dyDescent="0.25">
      <c r="A33" s="113"/>
      <c r="B33" s="113" t="s">
        <v>81</v>
      </c>
      <c r="C33" s="113" t="s">
        <v>42</v>
      </c>
      <c r="D33" s="28" t="s">
        <v>25</v>
      </c>
      <c r="E33" s="28" t="s">
        <v>25</v>
      </c>
      <c r="F33" s="28" t="s">
        <v>25</v>
      </c>
      <c r="G33" s="29" t="s">
        <v>70</v>
      </c>
      <c r="H33" s="29" t="s">
        <v>66</v>
      </c>
      <c r="I33" s="29">
        <f>'MERCADO TE'!$U$30</f>
        <v>0</v>
      </c>
      <c r="J33" s="15"/>
      <c r="L33" s="26">
        <f>1 - CUSTOS!$M$28</f>
        <v>1</v>
      </c>
      <c r="M33" s="26">
        <f>1 - CUSTOS!$M$28</f>
        <v>1</v>
      </c>
      <c r="N33" s="26">
        <f>1 - CUSTOS!$M$28</f>
        <v>1</v>
      </c>
      <c r="O33" s="26">
        <f>1 - CUSTOS!$M$28</f>
        <v>1</v>
      </c>
      <c r="P33" s="26">
        <f>1 - CUSTOS!$M$28</f>
        <v>1</v>
      </c>
      <c r="Q33" s="26"/>
      <c r="R33" s="26">
        <f>(1 - CUSTOS!$M$28)*1</f>
        <v>1</v>
      </c>
      <c r="S33" s="26"/>
      <c r="T33" s="26">
        <f>1 - CUSTOS!$M$28</f>
        <v>1</v>
      </c>
      <c r="U33" s="26">
        <f>1 - CUSTOS!$M$28</f>
        <v>1</v>
      </c>
      <c r="V33" s="26">
        <f>1 - CUSTOS!$M$28</f>
        <v>1</v>
      </c>
      <c r="W33" s="26"/>
      <c r="X33" s="26"/>
      <c r="Y33" s="26"/>
      <c r="Z33" s="26">
        <f>1 - CUSTOS!$M$28</f>
        <v>1</v>
      </c>
      <c r="AA33" s="26"/>
      <c r="AB33" s="26"/>
    </row>
    <row r="34" spans="1:28" ht="11.25" customHeight="1" x14ac:dyDescent="0.25">
      <c r="A34" s="113"/>
      <c r="B34" s="113"/>
      <c r="C34" s="113"/>
      <c r="D34" s="28" t="s">
        <v>83</v>
      </c>
      <c r="E34" s="28" t="s">
        <v>25</v>
      </c>
      <c r="F34" s="28" t="s">
        <v>25</v>
      </c>
      <c r="G34" s="29" t="s">
        <v>70</v>
      </c>
      <c r="H34" s="29" t="s">
        <v>66</v>
      </c>
      <c r="I34" s="29">
        <f>'MERCADO TE'!$U$31</f>
        <v>0</v>
      </c>
      <c r="J34" s="15"/>
      <c r="L34" s="26">
        <f>1 - CUSTOS!$M$29</f>
        <v>1</v>
      </c>
      <c r="M34" s="26">
        <f>1 - CUSTOS!$M$29</f>
        <v>1</v>
      </c>
      <c r="N34" s="26">
        <f>1 - CUSTOS!$M$29</f>
        <v>1</v>
      </c>
      <c r="O34" s="26">
        <f>1 - CUSTOS!$M$29</f>
        <v>1</v>
      </c>
      <c r="P34" s="26">
        <f>1 - CUSTOS!$M$29</f>
        <v>1</v>
      </c>
      <c r="Q34" s="26"/>
      <c r="R34" s="26">
        <f>(1 - CUSTOS!$M$29)*1</f>
        <v>1</v>
      </c>
      <c r="S34" s="26"/>
      <c r="T34" s="26">
        <f>1 - CUSTOS!$M$29</f>
        <v>1</v>
      </c>
      <c r="U34" s="26">
        <f>1 - CUSTOS!$M$29</f>
        <v>1</v>
      </c>
      <c r="V34" s="26">
        <f>1 - CUSTOS!$M$29</f>
        <v>1</v>
      </c>
      <c r="W34" s="26"/>
      <c r="X34" s="26"/>
      <c r="Y34" s="26"/>
      <c r="Z34" s="26">
        <f>1 - CUSTOS!$M$29</f>
        <v>1</v>
      </c>
      <c r="AA34" s="26"/>
      <c r="AB34" s="26"/>
    </row>
    <row r="35" spans="1:28" ht="11.25" customHeight="1" x14ac:dyDescent="0.25">
      <c r="A35" s="113"/>
      <c r="B35" s="113"/>
      <c r="C35" s="113"/>
      <c r="D35" s="28" t="s">
        <v>84</v>
      </c>
      <c r="E35" s="28" t="s">
        <v>25</v>
      </c>
      <c r="F35" s="28" t="s">
        <v>25</v>
      </c>
      <c r="G35" s="29" t="s">
        <v>70</v>
      </c>
      <c r="H35" s="29" t="s">
        <v>66</v>
      </c>
      <c r="I35" s="29">
        <f>'MERCADO TE'!$U$32</f>
        <v>0</v>
      </c>
      <c r="J35" s="15"/>
      <c r="L35" s="26">
        <f>1 - CUSTOS!$M$30</f>
        <v>1</v>
      </c>
      <c r="M35" s="26">
        <f>1 - CUSTOS!$M$30</f>
        <v>1</v>
      </c>
      <c r="N35" s="26">
        <f>1 - CUSTOS!$M$30</f>
        <v>1</v>
      </c>
      <c r="O35" s="26">
        <f>1 - CUSTOS!$M$30</f>
        <v>1</v>
      </c>
      <c r="P35" s="26">
        <f>1 - CUSTOS!$M$30</f>
        <v>1</v>
      </c>
      <c r="Q35" s="26"/>
      <c r="R35" s="26">
        <f>(1 - CUSTOS!$M$30)*1</f>
        <v>1</v>
      </c>
      <c r="S35" s="26"/>
      <c r="T35" s="26">
        <f>1 - CUSTOS!$M$30</f>
        <v>1</v>
      </c>
      <c r="U35" s="26">
        <f>1 - CUSTOS!$M$30</f>
        <v>1</v>
      </c>
      <c r="V35" s="26">
        <f>1 - CUSTOS!$M$30</f>
        <v>1</v>
      </c>
      <c r="W35" s="26"/>
      <c r="X35" s="26"/>
      <c r="Y35" s="26"/>
      <c r="Z35" s="26">
        <f>1 - CUSTOS!$M$30</f>
        <v>1</v>
      </c>
      <c r="AA35" s="26"/>
      <c r="AB35" s="26"/>
    </row>
    <row r="36" spans="1:28" ht="11.25" customHeight="1" x14ac:dyDescent="0.25">
      <c r="A36" s="113" t="s">
        <v>37</v>
      </c>
      <c r="B36" s="113" t="s">
        <v>65</v>
      </c>
      <c r="C36" s="113" t="s">
        <v>25</v>
      </c>
      <c r="D36" s="113" t="s">
        <v>25</v>
      </c>
      <c r="E36" s="113" t="s">
        <v>25</v>
      </c>
      <c r="F36" s="113" t="s">
        <v>25</v>
      </c>
      <c r="G36" s="29" t="s">
        <v>67</v>
      </c>
      <c r="H36" s="29" t="s">
        <v>66</v>
      </c>
      <c r="I36" s="29">
        <f>'MERCADO TE'!$U$33</f>
        <v>0</v>
      </c>
      <c r="J36" s="15"/>
      <c r="L36" s="26">
        <f>1 - CUSTOS!$M$31</f>
        <v>1</v>
      </c>
      <c r="M36" s="26">
        <f>1 - CUSTOS!$M$31</f>
        <v>1</v>
      </c>
      <c r="N36" s="26">
        <f>1 - CUSTOS!$M$31</f>
        <v>1</v>
      </c>
      <c r="O36" s="26">
        <f>1 - CUSTOS!$M$31</f>
        <v>1</v>
      </c>
      <c r="P36" s="26">
        <f>1 - CUSTOS!$M$31</f>
        <v>1</v>
      </c>
      <c r="Q36" s="26"/>
      <c r="R36" s="26">
        <f>(1 - CUSTOS!$M$31)*1</f>
        <v>1</v>
      </c>
      <c r="S36" s="26"/>
      <c r="T36" s="26">
        <f>1 - CUSTOS!$M$31</f>
        <v>1</v>
      </c>
      <c r="U36" s="26">
        <f>1 - CUSTOS!$M$31</f>
        <v>1</v>
      </c>
      <c r="V36" s="26">
        <f>1 - CUSTOS!$M$31</f>
        <v>1</v>
      </c>
      <c r="W36" s="26"/>
      <c r="X36" s="26"/>
      <c r="Y36" s="26"/>
      <c r="Z36" s="26">
        <f>1 - CUSTOS!$M$31</f>
        <v>1</v>
      </c>
      <c r="AA36" s="26"/>
      <c r="AB36" s="26"/>
    </row>
    <row r="37" spans="1:28" ht="11.25" customHeight="1" x14ac:dyDescent="0.25">
      <c r="A37" s="113"/>
      <c r="B37" s="113"/>
      <c r="C37" s="113"/>
      <c r="D37" s="113"/>
      <c r="E37" s="113"/>
      <c r="F37" s="113"/>
      <c r="G37" s="29" t="s">
        <v>80</v>
      </c>
      <c r="H37" s="29" t="s">
        <v>66</v>
      </c>
      <c r="I37" s="29">
        <f>'MERCADO TE'!$U$34</f>
        <v>0</v>
      </c>
      <c r="J37" s="15"/>
      <c r="L37" s="26">
        <f>1 - CUSTOS!$M$31</f>
        <v>1</v>
      </c>
      <c r="M37" s="26">
        <f>1 - CUSTOS!$M$31</f>
        <v>1</v>
      </c>
      <c r="N37" s="26">
        <f>1 - CUSTOS!$M$31</f>
        <v>1</v>
      </c>
      <c r="O37" s="26">
        <f>1 - CUSTOS!$M$31</f>
        <v>1</v>
      </c>
      <c r="P37" s="26">
        <f>1 - CUSTOS!$M$31</f>
        <v>1</v>
      </c>
      <c r="Q37" s="26"/>
      <c r="R37" s="26">
        <f>(1 - CUSTOS!$M$31)*1</f>
        <v>1</v>
      </c>
      <c r="S37" s="26"/>
      <c r="T37" s="26">
        <f>1 - CUSTOS!$M$31</f>
        <v>1</v>
      </c>
      <c r="U37" s="26">
        <f>1 - CUSTOS!$M$31</f>
        <v>1</v>
      </c>
      <c r="V37" s="26">
        <f>1 - CUSTOS!$M$31</f>
        <v>1</v>
      </c>
      <c r="W37" s="26"/>
      <c r="X37" s="26"/>
      <c r="Y37" s="26"/>
      <c r="Z37" s="26">
        <f>1 - CUSTOS!$M$31</f>
        <v>1</v>
      </c>
      <c r="AA37" s="26"/>
      <c r="AB37" s="26"/>
    </row>
    <row r="38" spans="1:28" ht="11.25" customHeight="1" x14ac:dyDescent="0.25">
      <c r="A38" s="113"/>
      <c r="B38" s="113"/>
      <c r="C38" s="113"/>
      <c r="D38" s="113"/>
      <c r="E38" s="113"/>
      <c r="F38" s="113"/>
      <c r="G38" s="29" t="s">
        <v>68</v>
      </c>
      <c r="H38" s="29" t="s">
        <v>66</v>
      </c>
      <c r="I38" s="29">
        <f>'MERCADO TE'!$U$35</f>
        <v>0</v>
      </c>
      <c r="J38" s="15"/>
      <c r="L38" s="26">
        <f>1 - CUSTOS!$M$31</f>
        <v>1</v>
      </c>
      <c r="M38" s="26">
        <f>1 - CUSTOS!$M$31</f>
        <v>1</v>
      </c>
      <c r="N38" s="26">
        <f>1 - CUSTOS!$M$31</f>
        <v>1</v>
      </c>
      <c r="O38" s="26">
        <f>1 - CUSTOS!$M$31</f>
        <v>1</v>
      </c>
      <c r="P38" s="26">
        <f>1 - CUSTOS!$M$31</f>
        <v>1</v>
      </c>
      <c r="Q38" s="26"/>
      <c r="R38" s="26">
        <f>(1 - CUSTOS!$M$31)*1</f>
        <v>1</v>
      </c>
      <c r="S38" s="26"/>
      <c r="T38" s="26">
        <f>1 - CUSTOS!$M$31</f>
        <v>1</v>
      </c>
      <c r="U38" s="26">
        <f>1 - CUSTOS!$M$31</f>
        <v>1</v>
      </c>
      <c r="V38" s="26">
        <f>1 - CUSTOS!$M$31</f>
        <v>1</v>
      </c>
      <c r="W38" s="26"/>
      <c r="X38" s="26"/>
      <c r="Y38" s="26"/>
      <c r="Z38" s="26">
        <f>1 - CUSTOS!$M$31</f>
        <v>1</v>
      </c>
      <c r="AA38" s="26"/>
      <c r="AB38" s="26"/>
    </row>
    <row r="39" spans="1:28" ht="11.25" customHeight="1" x14ac:dyDescent="0.25">
      <c r="A39" s="113"/>
      <c r="B39" s="28" t="s">
        <v>69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66</v>
      </c>
      <c r="I39" s="29">
        <f>'MERCADO TE'!$U$36</f>
        <v>1464.15</v>
      </c>
      <c r="J39" s="15"/>
      <c r="L39" s="26">
        <f>1 - CUSTOS!$M$31</f>
        <v>1</v>
      </c>
      <c r="M39" s="26">
        <f>1 - CUSTOS!$M$31</f>
        <v>1</v>
      </c>
      <c r="N39" s="26">
        <f>1 - CUSTOS!$M$31</f>
        <v>1</v>
      </c>
      <c r="O39" s="26">
        <f>1 - CUSTOS!$M$31</f>
        <v>1</v>
      </c>
      <c r="P39" s="26">
        <f>1 - CUSTOS!$M$31</f>
        <v>1</v>
      </c>
      <c r="Q39" s="26"/>
      <c r="R39" s="26">
        <f>(1 - CUSTOS!$M$31)*1</f>
        <v>1</v>
      </c>
      <c r="S39" s="26"/>
      <c r="T39" s="26">
        <f>1 - CUSTOS!$M$31</f>
        <v>1</v>
      </c>
      <c r="U39" s="26">
        <f>1 - CUSTOS!$M$31</f>
        <v>1</v>
      </c>
      <c r="V39" s="26">
        <f>1 - CUSTOS!$M$31</f>
        <v>1</v>
      </c>
      <c r="W39" s="26"/>
      <c r="X39" s="26"/>
      <c r="Y39" s="26"/>
      <c r="Z39" s="26">
        <f>1 - CUSTOS!$M$31</f>
        <v>1</v>
      </c>
      <c r="AA39" s="26"/>
      <c r="AB39" s="26"/>
    </row>
    <row r="40" spans="1:28" ht="11.25" customHeight="1" x14ac:dyDescent="0.25">
      <c r="A40" s="113"/>
      <c r="B40" s="28" t="s">
        <v>81</v>
      </c>
      <c r="C40" s="28" t="s">
        <v>25</v>
      </c>
      <c r="D40" s="28" t="s">
        <v>25</v>
      </c>
      <c r="E40" s="28" t="s">
        <v>25</v>
      </c>
      <c r="F40" s="28" t="s">
        <v>25</v>
      </c>
      <c r="G40" s="29" t="s">
        <v>70</v>
      </c>
      <c r="H40" s="29" t="s">
        <v>66</v>
      </c>
      <c r="I40" s="29">
        <f>'MERCADO TE'!$U$37</f>
        <v>0</v>
      </c>
      <c r="J40" s="15"/>
      <c r="L40" s="26">
        <f>1 - CUSTOS!$M$31</f>
        <v>1</v>
      </c>
      <c r="M40" s="26">
        <f>1 - CUSTOS!$M$31</f>
        <v>1</v>
      </c>
      <c r="N40" s="26">
        <f>1 - CUSTOS!$M$31</f>
        <v>1</v>
      </c>
      <c r="O40" s="26">
        <f>1 - CUSTOS!$M$31</f>
        <v>1</v>
      </c>
      <c r="P40" s="26">
        <f>1 - CUSTOS!$M$31</f>
        <v>1</v>
      </c>
      <c r="Q40" s="26"/>
      <c r="R40" s="26">
        <f>(1 - CUSTOS!$M$31)*1</f>
        <v>1</v>
      </c>
      <c r="S40" s="26"/>
      <c r="T40" s="26">
        <f>1 - CUSTOS!$M$31</f>
        <v>1</v>
      </c>
      <c r="U40" s="26">
        <f>1 - CUSTOS!$M$31</f>
        <v>1</v>
      </c>
      <c r="V40" s="26">
        <f>1 - CUSTOS!$M$31</f>
        <v>1</v>
      </c>
      <c r="W40" s="26"/>
      <c r="X40" s="26"/>
      <c r="Y40" s="26"/>
      <c r="Z40" s="26">
        <f>1 - CUSTOS!$M$31</f>
        <v>1</v>
      </c>
      <c r="AA40" s="26"/>
      <c r="AB40" s="26"/>
    </row>
    <row r="41" spans="1:28" ht="11.25" customHeight="1" x14ac:dyDescent="0.25">
      <c r="A41" s="113" t="s">
        <v>44</v>
      </c>
      <c r="B41" s="113" t="s">
        <v>69</v>
      </c>
      <c r="C41" s="113" t="s">
        <v>45</v>
      </c>
      <c r="D41" s="28" t="s">
        <v>46</v>
      </c>
      <c r="E41" s="28" t="s">
        <v>25</v>
      </c>
      <c r="F41" s="28" t="s">
        <v>25</v>
      </c>
      <c r="G41" s="29" t="s">
        <v>70</v>
      </c>
      <c r="H41" s="29" t="s">
        <v>66</v>
      </c>
      <c r="I41" s="29">
        <f>'MERCADO TE'!$U$38</f>
        <v>491.28100000000001</v>
      </c>
      <c r="J41" s="15"/>
      <c r="L41" s="26">
        <f>1 - CUSTOS!$M$32</f>
        <v>0.55000000000000004</v>
      </c>
      <c r="M41" s="26">
        <f>1 - CUSTOS!$M$32</f>
        <v>0.55000000000000004</v>
      </c>
      <c r="N41" s="26">
        <f>1 - CUSTOS!$M$32</f>
        <v>0.55000000000000004</v>
      </c>
      <c r="O41" s="26">
        <f>1 - CUSTOS!$M$32</f>
        <v>0.55000000000000004</v>
      </c>
      <c r="P41" s="26">
        <f>1 - CUSTOS!$M$32</f>
        <v>0.55000000000000004</v>
      </c>
      <c r="Q41" s="26"/>
      <c r="R41" s="26">
        <f>(1 - CUSTOS!$M$32)*1</f>
        <v>0.55000000000000004</v>
      </c>
      <c r="S41" s="26"/>
      <c r="T41" s="26">
        <f>1 - CUSTOS!$M$32</f>
        <v>0.55000000000000004</v>
      </c>
      <c r="U41" s="26">
        <f>1 - CUSTOS!$M$32</f>
        <v>0.55000000000000004</v>
      </c>
      <c r="V41" s="26">
        <f>1 - CUSTOS!$M$32</f>
        <v>0.55000000000000004</v>
      </c>
      <c r="W41" s="26"/>
      <c r="X41" s="26"/>
      <c r="Y41" s="26"/>
      <c r="Z41" s="26">
        <f>1 - CUSTOS!$M$32</f>
        <v>0.55000000000000004</v>
      </c>
      <c r="AA41" s="26"/>
      <c r="AB41" s="26"/>
    </row>
    <row r="42" spans="1:28" ht="11.25" customHeight="1" x14ac:dyDescent="0.25">
      <c r="A42" s="113"/>
      <c r="B42" s="113"/>
      <c r="C42" s="113"/>
      <c r="D42" s="29" t="s">
        <v>85</v>
      </c>
      <c r="E42" s="29" t="s">
        <v>25</v>
      </c>
      <c r="F42" s="29" t="s">
        <v>25</v>
      </c>
      <c r="G42" s="29" t="s">
        <v>70</v>
      </c>
      <c r="H42" s="29" t="s">
        <v>66</v>
      </c>
      <c r="I42" s="29">
        <f>'MERCADO TE'!$U$39</f>
        <v>0</v>
      </c>
      <c r="J42" s="15"/>
      <c r="L42" s="26">
        <f>1 - CUSTOS!$M$33</f>
        <v>0.6</v>
      </c>
      <c r="M42" s="26">
        <f>1 - CUSTOS!$M$33</f>
        <v>0.6</v>
      </c>
      <c r="N42" s="26">
        <f>1 - CUSTOS!$M$33</f>
        <v>0.6</v>
      </c>
      <c r="O42" s="26">
        <f>1 - CUSTOS!$M$33</f>
        <v>0.6</v>
      </c>
      <c r="P42" s="26">
        <f>1 - CUSTOS!$M$33</f>
        <v>0.6</v>
      </c>
      <c r="Q42" s="26"/>
      <c r="R42" s="26">
        <f>(1 - CUSTOS!$M$33)*1</f>
        <v>0.6</v>
      </c>
      <c r="S42" s="26"/>
      <c r="T42" s="26">
        <f>1 - CUSTOS!$M$33</f>
        <v>0.6</v>
      </c>
      <c r="U42" s="26">
        <f>1 - CUSTOS!$M$33</f>
        <v>0.6</v>
      </c>
      <c r="V42" s="26">
        <f>1 - CUSTOS!$M$33</f>
        <v>0.6</v>
      </c>
      <c r="W42" s="26"/>
      <c r="X42" s="26"/>
      <c r="Y42" s="26"/>
      <c r="Z42" s="26">
        <f>1 - CUSTOS!$M$33</f>
        <v>0.6</v>
      </c>
      <c r="AA42" s="26"/>
      <c r="AB42" s="26"/>
    </row>
    <row r="44" spans="1:28" ht="11.25" customHeight="1" x14ac:dyDescent="0.25">
      <c r="K44" s="31" t="s">
        <v>522</v>
      </c>
      <c r="L44" s="26">
        <f t="shared" ref="L44:AB44" si="0">SUMPRODUCT($I$5:$I$42,L$5:L$42)</f>
        <v>16155.991550000001</v>
      </c>
      <c r="M44" s="26">
        <f t="shared" si="0"/>
        <v>16155.991550000001</v>
      </c>
      <c r="N44" s="26">
        <f t="shared" si="0"/>
        <v>16155.991550000001</v>
      </c>
      <c r="O44" s="26">
        <f t="shared" si="0"/>
        <v>16155.991550000001</v>
      </c>
      <c r="P44" s="26">
        <f t="shared" si="0"/>
        <v>16155.991550000001</v>
      </c>
      <c r="Q44" s="26">
        <f t="shared" si="0"/>
        <v>0</v>
      </c>
      <c r="R44" s="26">
        <f t="shared" si="0"/>
        <v>16155.991550000001</v>
      </c>
      <c r="S44" s="26">
        <f t="shared" si="0"/>
        <v>0</v>
      </c>
      <c r="T44" s="26">
        <f t="shared" si="0"/>
        <v>16155.991550000001</v>
      </c>
      <c r="U44" s="26">
        <f t="shared" si="0"/>
        <v>16155.991550000001</v>
      </c>
      <c r="V44" s="26">
        <f t="shared" si="0"/>
        <v>16155.991550000001</v>
      </c>
      <c r="W44" s="26">
        <f t="shared" si="0"/>
        <v>0</v>
      </c>
      <c r="X44" s="26">
        <f t="shared" si="0"/>
        <v>0</v>
      </c>
      <c r="Y44" s="26">
        <f t="shared" si="0"/>
        <v>0</v>
      </c>
      <c r="Z44" s="26">
        <f t="shared" si="0"/>
        <v>16155.991550000001</v>
      </c>
      <c r="AA44" s="26">
        <f t="shared" si="0"/>
        <v>0</v>
      </c>
      <c r="AB44" s="26">
        <f t="shared" si="0"/>
        <v>0</v>
      </c>
    </row>
    <row r="45" spans="1:28" ht="11.25" customHeight="1" x14ac:dyDescent="0.25">
      <c r="K45" s="31" t="s">
        <v>441</v>
      </c>
      <c r="L45" s="26">
        <f>CUSTOS!$D$30</f>
        <v>0</v>
      </c>
      <c r="M45" s="26">
        <f>CUSTOS!$D$31</f>
        <v>0</v>
      </c>
      <c r="N45" s="26">
        <f>CUSTOS!$D$32</f>
        <v>0</v>
      </c>
      <c r="O45" s="26">
        <f>CUSTOS!$D$33</f>
        <v>0</v>
      </c>
      <c r="P45" s="26">
        <f>CUSTOS!$D$34</f>
        <v>0</v>
      </c>
      <c r="Q45" s="26">
        <f>CUSTOS!$D$35</f>
        <v>0</v>
      </c>
      <c r="R45" s="26">
        <f>CUSTOS!$D$36</f>
        <v>1918542.2137533133</v>
      </c>
      <c r="S45" s="26">
        <f>CUSTOS!$D$37</f>
        <v>1918542.2137533133</v>
      </c>
      <c r="T45" s="26">
        <f>CUSTOS!$D$38</f>
        <v>0</v>
      </c>
      <c r="U45" s="26">
        <f>CUSTOS!$D$39</f>
        <v>0</v>
      </c>
      <c r="V45" s="26">
        <f>CUSTOS!$D$40</f>
        <v>0</v>
      </c>
      <c r="W45" s="26">
        <f>CUSTOS!$D$41</f>
        <v>0</v>
      </c>
      <c r="X45" s="26">
        <f>CUSTOS!$D$42</f>
        <v>0</v>
      </c>
      <c r="Y45" s="26">
        <f>CUSTOS!$D$43</f>
        <v>0</v>
      </c>
      <c r="Z45" s="26">
        <f>CUSTOS!$D$44</f>
        <v>0</v>
      </c>
      <c r="AA45" s="26">
        <f>CUSTOS!$D$45</f>
        <v>0</v>
      </c>
      <c r="AB45" s="26">
        <f>CUSTOS!$D$46</f>
        <v>1918542.2137533133</v>
      </c>
    </row>
    <row r="46" spans="1:28" ht="11.25" customHeight="1" x14ac:dyDescent="0.25">
      <c r="K46" s="31" t="s">
        <v>442</v>
      </c>
      <c r="L46" s="26">
        <f>CUSTOS!$E$30</f>
        <v>0</v>
      </c>
      <c r="M46" s="26">
        <f>CUSTOS!$E$31</f>
        <v>0</v>
      </c>
      <c r="N46" s="26">
        <f>CUSTOS!$E$32</f>
        <v>0</v>
      </c>
      <c r="O46" s="26">
        <f>CUSTOS!$E$33</f>
        <v>0</v>
      </c>
      <c r="P46" s="26">
        <f>CUSTOS!$E$34</f>
        <v>0</v>
      </c>
      <c r="Q46" s="26">
        <f>CUSTOS!$E$35</f>
        <v>0</v>
      </c>
      <c r="R46" s="26">
        <f>CUSTOS!$E$36</f>
        <v>-10094.838415035665</v>
      </c>
      <c r="S46" s="26">
        <f>CUSTOS!$E$37</f>
        <v>-10094.838415035665</v>
      </c>
      <c r="T46" s="26">
        <f>CUSTOS!$E$38</f>
        <v>0</v>
      </c>
      <c r="U46" s="26">
        <f>CUSTOS!$E$39</f>
        <v>0</v>
      </c>
      <c r="V46" s="26">
        <f>CUSTOS!$E$40</f>
        <v>0</v>
      </c>
      <c r="W46" s="26">
        <f>CUSTOS!$E$41</f>
        <v>0</v>
      </c>
      <c r="X46" s="26">
        <f>CUSTOS!$E$42</f>
        <v>-27429.875191861989</v>
      </c>
      <c r="Y46" s="26">
        <f>CUSTOS!$E$43</f>
        <v>-27429.875191861989</v>
      </c>
      <c r="Z46" s="26">
        <f>CUSTOS!$E$44</f>
        <v>0</v>
      </c>
      <c r="AA46" s="26">
        <f>CUSTOS!$E$45</f>
        <v>0</v>
      </c>
      <c r="AB46" s="26">
        <f>CUSTOS!$E$46</f>
        <v>-37524.713606897654</v>
      </c>
    </row>
    <row r="47" spans="1:28" ht="11.25" customHeight="1" x14ac:dyDescent="0.25">
      <c r="K47" s="31" t="s">
        <v>443</v>
      </c>
      <c r="L47" s="26">
        <f>CUSTOS!$F$30</f>
        <v>0</v>
      </c>
      <c r="M47" s="26">
        <f>CUSTOS!$F$31</f>
        <v>0</v>
      </c>
      <c r="N47" s="26">
        <f>CUSTOS!$F$32</f>
        <v>0</v>
      </c>
      <c r="O47" s="26">
        <f>CUSTOS!$F$33</f>
        <v>0</v>
      </c>
      <c r="P47" s="26">
        <f>CUSTOS!$F$34</f>
        <v>0</v>
      </c>
      <c r="Q47" s="26">
        <f>CUSTOS!$F$35</f>
        <v>0</v>
      </c>
      <c r="R47" s="26">
        <f>CUSTOS!$F$36</f>
        <v>0</v>
      </c>
      <c r="S47" s="26">
        <f>CUSTOS!$F$37</f>
        <v>0</v>
      </c>
      <c r="T47" s="26">
        <f>CUSTOS!$F$38</f>
        <v>0</v>
      </c>
      <c r="U47" s="26">
        <f>CUSTOS!$F$39</f>
        <v>0</v>
      </c>
      <c r="V47" s="26">
        <f>CUSTOS!$F$40</f>
        <v>0</v>
      </c>
      <c r="W47" s="26">
        <f>CUSTOS!$F$41</f>
        <v>0</v>
      </c>
      <c r="X47" s="26">
        <f>CUSTOS!$F$42</f>
        <v>0</v>
      </c>
      <c r="Y47" s="26">
        <f>CUSTOS!$F$43</f>
        <v>0</v>
      </c>
      <c r="Z47" s="26">
        <f>CUSTOS!$F$44</f>
        <v>0</v>
      </c>
      <c r="AA47" s="26">
        <f>CUSTOS!$F$45</f>
        <v>0</v>
      </c>
      <c r="AB47" s="26">
        <f>CUSTOS!$F$46</f>
        <v>0</v>
      </c>
    </row>
    <row r="48" spans="1:28" ht="11.25" customHeight="1" x14ac:dyDescent="0.25">
      <c r="K48" s="31" t="s">
        <v>523</v>
      </c>
      <c r="L48" s="26">
        <f>IF(SUMPRODUCT($I$5:$I$42,$L$5:$L$42)&lt;&gt;0,L45/SUMPRODUCT($I$5:$I$42,$L$5:$L$42),0)</f>
        <v>0</v>
      </c>
      <c r="M48" s="26">
        <f>IF(SUMPRODUCT($I$5:$I$42,$M$5:$M$42)&lt;&gt;0,M45/SUMPRODUCT($I$5:$I$42,$M$5:$M$42),0)</f>
        <v>0</v>
      </c>
      <c r="N48" s="26">
        <f>IF(SUMPRODUCT($I$5:$I$42,$N$5:$N$42)&lt;&gt;0,N45/SUMPRODUCT($I$5:$I$42,$N$5:$N$42),0)</f>
        <v>0</v>
      </c>
      <c r="O48" s="26">
        <f>IF(SUMPRODUCT($I$5:$I$42,$O$5:$O$42)&lt;&gt;0,O45/SUMPRODUCT($I$5:$I$42,$O$5:$O$42),0)</f>
        <v>0</v>
      </c>
      <c r="P48" s="26">
        <f>IF(SUMPRODUCT($I$5:$I$42,$P$5:$P$42)&lt;&gt;0,P45/SUMPRODUCT($I$5:$I$42,$P$5:$P$42),0)</f>
        <v>0</v>
      </c>
      <c r="Q48" s="26"/>
      <c r="R48" s="26">
        <f>IF((CUSTOS!$M$12-CUSTOS!$M$13)&lt;&gt;0,(CUSTOS!$M$12*CUSTOS!$M$14)/(CUSTOS!$M$12-CUSTOS!$M$13),0)</f>
        <v>118.93351500000001</v>
      </c>
      <c r="S48" s="26"/>
      <c r="T48" s="26">
        <f>IF(SUMPRODUCT($I$5:$I$42,$T$5:$T$42)&lt;&gt;0,T45/SUMPRODUCT($I$5:$I$42,$T$5:$T$42),0)</f>
        <v>0</v>
      </c>
      <c r="U48" s="26">
        <f>IF(SUMPRODUCT($I$5:$I$42,$U$5:$U$42)&lt;&gt;0,U45/SUMPRODUCT($I$5:$I$42,$U$5:$U$42),0)</f>
        <v>0</v>
      </c>
      <c r="V48" s="26">
        <f>IF(SUMPRODUCT($I$5:$I$42,$V$5:$V$42)&lt;&gt;0,V45/SUMPRODUCT($I$5:$I$42,$V$5:$V$42),0)</f>
        <v>0</v>
      </c>
      <c r="W48" s="26"/>
      <c r="X48" s="26">
        <f>IF(SUMPRODUCT($I$5:$I$42,$X$5:$X$42)&lt;&gt;0,X45/SUMPRODUCT($I$5:$I$42,$X$5:$X$42),0)</f>
        <v>0</v>
      </c>
      <c r="Y48" s="26"/>
      <c r="Z48" s="26">
        <f>IF(SUMPRODUCT($I$5:$I$42,$Z$5:$Z$42)&lt;&gt;0,Z45/SUMPRODUCT($I$5:$I$42,$Z$5:$Z$42),0)</f>
        <v>0</v>
      </c>
      <c r="AA48" s="26"/>
      <c r="AB48" s="26"/>
    </row>
    <row r="49" spans="11:28" ht="11.25" customHeight="1" x14ac:dyDescent="0.25">
      <c r="K49" s="31" t="s">
        <v>524</v>
      </c>
      <c r="L49" s="26">
        <f>IF(L44&lt;&gt;0,(L45-L48*0)/(L44-0),0)</f>
        <v>0</v>
      </c>
      <c r="M49" s="26">
        <f>IF(M44&lt;&gt;0,(M45-M48*0)/(M44-0),0)</f>
        <v>0</v>
      </c>
      <c r="N49" s="26">
        <f>IF(N44&lt;&gt;0,(N45-N48*0)/(N44-0),0)</f>
        <v>0</v>
      </c>
      <c r="O49" s="26">
        <f>IF(O44&lt;&gt;0,(O45-O48*0)/(O44-0),0)</f>
        <v>0</v>
      </c>
      <c r="P49" s="26">
        <f>IF(P44&lt;&gt;0,(P45-P48*0)/(P44-0),0)</f>
        <v>0</v>
      </c>
      <c r="Q49" s="26"/>
      <c r="R49" s="26">
        <f>IF(R44&lt;&gt;0,(R45-R48*0)/(R44-0),0)</f>
        <v>118.75112758110555</v>
      </c>
      <c r="S49" s="26"/>
      <c r="T49" s="26">
        <f>IF(T44&lt;&gt;0,(T45-T48*0)/(T44-0),0)</f>
        <v>0</v>
      </c>
      <c r="U49" s="26">
        <f>IF(U44&lt;&gt;0,(U45-U48*0)/(U44-0),0)</f>
        <v>0</v>
      </c>
      <c r="V49" s="26">
        <f>IF(V44&lt;&gt;0,(V45-V48*0)/(V44-0),0)</f>
        <v>0</v>
      </c>
      <c r="W49" s="26"/>
      <c r="X49" s="26">
        <f>IF(X44&lt;&gt;0,(X45-X48*0)/(X44-0),0)</f>
        <v>0</v>
      </c>
      <c r="Y49" s="26"/>
      <c r="Z49" s="26">
        <f>IF(Z44&lt;&gt;0,(Z45-Z48*0)/(Z44-0),0)</f>
        <v>0</v>
      </c>
      <c r="AA49" s="26"/>
      <c r="AB49" s="26"/>
    </row>
    <row r="50" spans="11:28" ht="11.25" customHeight="1" x14ac:dyDescent="0.25">
      <c r="K50" s="31" t="s">
        <v>525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</sheetData>
  <mergeCells count="61">
    <mergeCell ref="F5:F6"/>
    <mergeCell ref="A5:A7"/>
    <mergeCell ref="B5:B6"/>
    <mergeCell ref="C5:C6"/>
    <mergeCell ref="D5:D6"/>
    <mergeCell ref="E5:E6"/>
    <mergeCell ref="F8:F10"/>
    <mergeCell ref="B11:B15"/>
    <mergeCell ref="C11:C15"/>
    <mergeCell ref="B16:B20"/>
    <mergeCell ref="C16:C20"/>
    <mergeCell ref="A8:A20"/>
    <mergeCell ref="B8:B10"/>
    <mergeCell ref="C8:C10"/>
    <mergeCell ref="D8:D10"/>
    <mergeCell ref="E8:E10"/>
    <mergeCell ref="E29:E31"/>
    <mergeCell ref="F29:F31"/>
    <mergeCell ref="A21:A35"/>
    <mergeCell ref="B21:B23"/>
    <mergeCell ref="C21:C23"/>
    <mergeCell ref="D21:D23"/>
    <mergeCell ref="E21:E23"/>
    <mergeCell ref="F21:F23"/>
    <mergeCell ref="B25:B27"/>
    <mergeCell ref="C25:C27"/>
    <mergeCell ref="D25:D27"/>
    <mergeCell ref="E25:E27"/>
    <mergeCell ref="F1:F4"/>
    <mergeCell ref="E36:E38"/>
    <mergeCell ref="F36:F38"/>
    <mergeCell ref="A41:A42"/>
    <mergeCell ref="B41:B42"/>
    <mergeCell ref="C41:C42"/>
    <mergeCell ref="B33:B35"/>
    <mergeCell ref="C33:C35"/>
    <mergeCell ref="A36:A40"/>
    <mergeCell ref="B36:B38"/>
    <mergeCell ref="C36:C38"/>
    <mergeCell ref="D36:D38"/>
    <mergeCell ref="F25:F27"/>
    <mergeCell ref="B29:B31"/>
    <mergeCell ref="C29:C31"/>
    <mergeCell ref="D29:D31"/>
    <mergeCell ref="A1:A4"/>
    <mergeCell ref="B1:B4"/>
    <mergeCell ref="C1:C4"/>
    <mergeCell ref="D1:D4"/>
    <mergeCell ref="E1:E4"/>
    <mergeCell ref="Z3:AA3"/>
    <mergeCell ref="AB3:AB4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A04E-F660-4230-9C1B-D8D28035CB79}">
  <dimension ref="A1:AB50"/>
  <sheetViews>
    <sheetView showGridLines="0" topLeftCell="L1" workbookViewId="0">
      <selection activeCell="AB44" sqref="AB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.42578125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2" t="s">
        <v>56</v>
      </c>
      <c r="B1" s="112" t="s">
        <v>57</v>
      </c>
      <c r="C1" s="112" t="s">
        <v>58</v>
      </c>
      <c r="D1" s="112" t="s">
        <v>59</v>
      </c>
      <c r="E1" s="112" t="s">
        <v>60</v>
      </c>
      <c r="F1" s="112" t="s">
        <v>15</v>
      </c>
      <c r="G1" s="112" t="s">
        <v>62</v>
      </c>
      <c r="H1" s="112" t="s">
        <v>63</v>
      </c>
      <c r="I1" s="112" t="s">
        <v>500</v>
      </c>
      <c r="J1" s="95"/>
      <c r="L1" s="110" t="s">
        <v>526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</row>
    <row r="2" spans="1:28" ht="11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95"/>
      <c r="L2" s="110" t="s">
        <v>427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</row>
    <row r="3" spans="1:28" ht="11.2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95"/>
      <c r="L3" s="110" t="s">
        <v>400</v>
      </c>
      <c r="M3" s="110"/>
      <c r="N3" s="110"/>
      <c r="O3" s="110"/>
      <c r="P3" s="110"/>
      <c r="Q3" s="110"/>
      <c r="R3" s="110" t="s">
        <v>431</v>
      </c>
      <c r="S3" s="110"/>
      <c r="T3" s="110" t="s">
        <v>409</v>
      </c>
      <c r="U3" s="110"/>
      <c r="V3" s="110"/>
      <c r="W3" s="110"/>
      <c r="X3" s="110" t="s">
        <v>419</v>
      </c>
      <c r="Y3" s="110"/>
      <c r="Z3" s="110" t="s">
        <v>422</v>
      </c>
      <c r="AA3" s="110"/>
      <c r="AB3" s="110" t="s">
        <v>408</v>
      </c>
    </row>
    <row r="4" spans="1:28" ht="11.2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95"/>
      <c r="L4" s="30" t="s">
        <v>402</v>
      </c>
      <c r="M4" s="30" t="s">
        <v>428</v>
      </c>
      <c r="N4" s="30" t="s">
        <v>429</v>
      </c>
      <c r="O4" s="30" t="s">
        <v>488</v>
      </c>
      <c r="P4" s="30" t="s">
        <v>430</v>
      </c>
      <c r="Q4" s="30" t="s">
        <v>408</v>
      </c>
      <c r="R4" s="30" t="s">
        <v>432</v>
      </c>
      <c r="S4" s="30" t="s">
        <v>408</v>
      </c>
      <c r="T4" s="30" t="s">
        <v>433</v>
      </c>
      <c r="U4" s="30" t="s">
        <v>434</v>
      </c>
      <c r="V4" s="30" t="s">
        <v>435</v>
      </c>
      <c r="W4" s="30" t="s">
        <v>408</v>
      </c>
      <c r="X4" s="30" t="s">
        <v>420</v>
      </c>
      <c r="Y4" s="30" t="s">
        <v>408</v>
      </c>
      <c r="Z4" s="30" t="s">
        <v>436</v>
      </c>
      <c r="AA4" s="30" t="s">
        <v>408</v>
      </c>
      <c r="AB4" s="111"/>
    </row>
    <row r="5" spans="1:28" ht="11.25" customHeight="1" x14ac:dyDescent="0.25">
      <c r="A5" s="113" t="s">
        <v>39</v>
      </c>
      <c r="B5" s="113" t="s">
        <v>65</v>
      </c>
      <c r="C5" s="113" t="s">
        <v>25</v>
      </c>
      <c r="D5" s="113" t="s">
        <v>25</v>
      </c>
      <c r="E5" s="113" t="s">
        <v>25</v>
      </c>
      <c r="F5" s="113" t="s">
        <v>25</v>
      </c>
      <c r="G5" s="29" t="s">
        <v>67</v>
      </c>
      <c r="H5" s="29" t="s">
        <v>66</v>
      </c>
      <c r="I5" s="29">
        <f>'MERCADO TE'!$U$2</f>
        <v>60.844000000000008</v>
      </c>
      <c r="J5" s="15"/>
      <c r="L5" s="26">
        <f>'TR TE'!$L$5*'TR TE'!$L$49</f>
        <v>0</v>
      </c>
      <c r="M5" s="26">
        <f>'TR TE'!$M$5*'TR TE'!$M$49</f>
        <v>0</v>
      </c>
      <c r="N5" s="26">
        <f>'TR TE'!$N$5*'TR TE'!$N$49</f>
        <v>0</v>
      </c>
      <c r="O5" s="26">
        <f>'TR TE'!$O$5*'TR TE'!$O$49</f>
        <v>0</v>
      </c>
      <c r="P5" s="26">
        <f>'TR TE'!$P$5*'TR TE'!$P$49</f>
        <v>0</v>
      </c>
      <c r="Q5" s="26">
        <f>SUM($L$5:$P$5)</f>
        <v>0</v>
      </c>
      <c r="R5" s="26">
        <f>'TR TE'!$R$5*'TR TE'!$R$49</f>
        <v>118.75112758110555</v>
      </c>
      <c r="S5" s="26">
        <f>SUM($R$5:$R$5)</f>
        <v>118.75112758110555</v>
      </c>
      <c r="T5" s="26">
        <f>'TR TE'!$T$5*'TR TE'!$T$49</f>
        <v>0</v>
      </c>
      <c r="U5" s="26">
        <f>'TR TE'!$U$5*'TR TE'!$U$49</f>
        <v>0</v>
      </c>
      <c r="V5" s="26">
        <f>'TR TE'!$V$5*'TR TE'!$V$49</f>
        <v>0</v>
      </c>
      <c r="W5" s="26">
        <f>SUM($T$5:$V$5)</f>
        <v>0</v>
      </c>
      <c r="X5" s="26"/>
      <c r="Y5" s="26">
        <f>SUM($X$5:$X$5)</f>
        <v>0</v>
      </c>
      <c r="Z5" s="26">
        <f>'TR TE'!$Z$5*'TR TE'!$Z$49</f>
        <v>0</v>
      </c>
      <c r="AA5" s="26">
        <f>SUM($Z$5:$Z$5)</f>
        <v>0</v>
      </c>
      <c r="AB5" s="26">
        <f>SUMIF($L$4:$AA$4,"SUBTOTAL",$L$5:$AA$5)</f>
        <v>118.75112758110555</v>
      </c>
    </row>
    <row r="6" spans="1:28" ht="11.25" customHeight="1" x14ac:dyDescent="0.25">
      <c r="A6" s="113"/>
      <c r="B6" s="113"/>
      <c r="C6" s="113"/>
      <c r="D6" s="113"/>
      <c r="E6" s="113"/>
      <c r="F6" s="113"/>
      <c r="G6" s="29" t="s">
        <v>68</v>
      </c>
      <c r="H6" s="29" t="s">
        <v>66</v>
      </c>
      <c r="I6" s="29">
        <f>'MERCADO TE'!$U$3</f>
        <v>1244.3510000000001</v>
      </c>
      <c r="J6" s="15"/>
      <c r="L6" s="26">
        <f>'TR TE'!$L$6*'TR TE'!$L$49</f>
        <v>0</v>
      </c>
      <c r="M6" s="26">
        <f>'TR TE'!$M$6*'TR TE'!$M$49</f>
        <v>0</v>
      </c>
      <c r="N6" s="26">
        <f>'TR TE'!$N$6*'TR TE'!$N$49</f>
        <v>0</v>
      </c>
      <c r="O6" s="26">
        <f>'TR TE'!$O$6*'TR TE'!$O$49</f>
        <v>0</v>
      </c>
      <c r="P6" s="26">
        <f>'TR TE'!$P$6*'TR TE'!$P$49</f>
        <v>0</v>
      </c>
      <c r="Q6" s="26">
        <f>SUM($L$6:$P$6)</f>
        <v>0</v>
      </c>
      <c r="R6" s="26">
        <f>'TR TE'!$R$6*'TR TE'!$R$49</f>
        <v>118.75112758110555</v>
      </c>
      <c r="S6" s="26">
        <f>SUM($R$6:$R$6)</f>
        <v>118.75112758110555</v>
      </c>
      <c r="T6" s="26">
        <f>'TR TE'!$T$6*'TR TE'!$T$49</f>
        <v>0</v>
      </c>
      <c r="U6" s="26">
        <f>'TR TE'!$U$6*'TR TE'!$U$49</f>
        <v>0</v>
      </c>
      <c r="V6" s="26">
        <f>'TR TE'!$V$6*'TR TE'!$V$49</f>
        <v>0</v>
      </c>
      <c r="W6" s="26">
        <f>SUM($T$6:$V$6)</f>
        <v>0</v>
      </c>
      <c r="X6" s="26"/>
      <c r="Y6" s="26">
        <f>SUM($X$6:$X$6)</f>
        <v>0</v>
      </c>
      <c r="Z6" s="26">
        <f>'TR TE'!$Z$6*'TR TE'!$Z$49</f>
        <v>0</v>
      </c>
      <c r="AA6" s="26">
        <f>SUM($Z$6:$Z$6)</f>
        <v>0</v>
      </c>
      <c r="AB6" s="26">
        <f>SUMIF($L$4:$AA$4,"SUBTOTAL",$L$6:$AA$6)</f>
        <v>118.75112758110555</v>
      </c>
    </row>
    <row r="7" spans="1:28" ht="11.25" customHeight="1" x14ac:dyDescent="0.25">
      <c r="A7" s="113"/>
      <c r="B7" s="28" t="s">
        <v>69</v>
      </c>
      <c r="C7" s="28" t="s">
        <v>25</v>
      </c>
      <c r="D7" s="28" t="s">
        <v>25</v>
      </c>
      <c r="E7" s="28" t="s">
        <v>25</v>
      </c>
      <c r="F7" s="28" t="s">
        <v>25</v>
      </c>
      <c r="G7" s="29" t="s">
        <v>70</v>
      </c>
      <c r="H7" s="29" t="s">
        <v>66</v>
      </c>
      <c r="I7" s="29">
        <f>'MERCADO TE'!$U$4</f>
        <v>0</v>
      </c>
      <c r="J7" s="15"/>
      <c r="L7" s="26">
        <f>'TR TE'!$L$7*'TR TE'!$L$49</f>
        <v>0</v>
      </c>
      <c r="M7" s="26">
        <f>'TR TE'!$M$7*'TR TE'!$M$49</f>
        <v>0</v>
      </c>
      <c r="N7" s="26">
        <f>'TR TE'!$N$7*'TR TE'!$N$49</f>
        <v>0</v>
      </c>
      <c r="O7" s="26">
        <f>'TR TE'!$O$7*'TR TE'!$O$49</f>
        <v>0</v>
      </c>
      <c r="P7" s="26">
        <f>'TR TE'!$P$7*'TR TE'!$P$49</f>
        <v>0</v>
      </c>
      <c r="Q7" s="26">
        <f>SUM($L$7:$P$7)</f>
        <v>0</v>
      </c>
      <c r="R7" s="26">
        <f>'TR TE'!$R$7*'TR TE'!$R$49</f>
        <v>118.75112758110555</v>
      </c>
      <c r="S7" s="26">
        <f>SUM($R$7:$R$7)</f>
        <v>118.75112758110555</v>
      </c>
      <c r="T7" s="26">
        <f>'TR TE'!$T$7*'TR TE'!$T$49</f>
        <v>0</v>
      </c>
      <c r="U7" s="26">
        <f>'TR TE'!$U$7*'TR TE'!$U$49</f>
        <v>0</v>
      </c>
      <c r="V7" s="26">
        <f>'TR TE'!$V$7*'TR TE'!$V$49</f>
        <v>0</v>
      </c>
      <c r="W7" s="26">
        <f>SUM($T$7:$V$7)</f>
        <v>0</v>
      </c>
      <c r="X7" s="26"/>
      <c r="Y7" s="26">
        <f>SUM($X$7:$X$7)</f>
        <v>0</v>
      </c>
      <c r="Z7" s="26">
        <f>'TR TE'!$Z$7*'TR TE'!$Z$49</f>
        <v>0</v>
      </c>
      <c r="AA7" s="26">
        <f>SUM($Z$7:$Z$7)</f>
        <v>0</v>
      </c>
      <c r="AB7" s="26">
        <f>SUMIF($L$4:$AA$4,"SUBTOTAL",$L$7:$AA$7)</f>
        <v>118.75112758110555</v>
      </c>
    </row>
    <row r="8" spans="1:28" ht="11.25" customHeight="1" x14ac:dyDescent="0.25">
      <c r="A8" s="113" t="s">
        <v>22</v>
      </c>
      <c r="B8" s="113" t="s">
        <v>65</v>
      </c>
      <c r="C8" s="113" t="s">
        <v>24</v>
      </c>
      <c r="D8" s="113" t="s">
        <v>24</v>
      </c>
      <c r="E8" s="113" t="s">
        <v>25</v>
      </c>
      <c r="F8" s="113" t="s">
        <v>25</v>
      </c>
      <c r="G8" s="29" t="s">
        <v>67</v>
      </c>
      <c r="H8" s="29" t="s">
        <v>66</v>
      </c>
      <c r="I8" s="29">
        <f>'MERCADO TE'!$U$5</f>
        <v>0.22599999999999998</v>
      </c>
      <c r="J8" s="15"/>
      <c r="L8" s="26">
        <f>'TR TE'!$L$8*'TR TE'!$L$49</f>
        <v>0</v>
      </c>
      <c r="M8" s="26">
        <f>'TR TE'!$M$8*'TR TE'!$M$49</f>
        <v>0</v>
      </c>
      <c r="N8" s="26">
        <f>'TR TE'!$N$8*'TR TE'!$N$49</f>
        <v>0</v>
      </c>
      <c r="O8" s="26">
        <f>'TR TE'!$O$8*'TR TE'!$O$49</f>
        <v>0</v>
      </c>
      <c r="P8" s="26">
        <f>'TR TE'!$P$8*'TR TE'!$P$49</f>
        <v>0</v>
      </c>
      <c r="Q8" s="26">
        <f>SUM($L$8:$P$8)</f>
        <v>0</v>
      </c>
      <c r="R8" s="26">
        <f>'TR TE'!$R$8*'TR TE'!$R$49</f>
        <v>118.75112758110555</v>
      </c>
      <c r="S8" s="26">
        <f>SUM($R$8:$R$8)</f>
        <v>118.75112758110555</v>
      </c>
      <c r="T8" s="26">
        <f>'TR TE'!$T$8*'TR TE'!$T$49</f>
        <v>0</v>
      </c>
      <c r="U8" s="26">
        <f>'TR TE'!$U$8*'TR TE'!$U$49</f>
        <v>0</v>
      </c>
      <c r="V8" s="26">
        <f>'TR TE'!$V$8*'TR TE'!$V$49</f>
        <v>0</v>
      </c>
      <c r="W8" s="26">
        <f>SUM($T$8:$V$8)</f>
        <v>0</v>
      </c>
      <c r="X8" s="26"/>
      <c r="Y8" s="26">
        <f>SUM($X$8:$X$8)</f>
        <v>0</v>
      </c>
      <c r="Z8" s="26">
        <f>'TR TE'!$Z$8*'TR TE'!$Z$49</f>
        <v>0</v>
      </c>
      <c r="AA8" s="26">
        <f>SUM($Z$8:$Z$8)</f>
        <v>0</v>
      </c>
      <c r="AB8" s="26">
        <f>SUMIF($L$4:$AA$4,"SUBTOTAL",$L$8:$AA$8)</f>
        <v>118.75112758110555</v>
      </c>
    </row>
    <row r="9" spans="1:28" ht="11.25" customHeight="1" x14ac:dyDescent="0.25">
      <c r="A9" s="113"/>
      <c r="B9" s="113"/>
      <c r="C9" s="113"/>
      <c r="D9" s="113"/>
      <c r="E9" s="113"/>
      <c r="F9" s="113"/>
      <c r="G9" s="29" t="s">
        <v>80</v>
      </c>
      <c r="H9" s="29" t="s">
        <v>66</v>
      </c>
      <c r="I9" s="29">
        <f>'MERCADO TE'!$U$6</f>
        <v>0.29500000000000004</v>
      </c>
      <c r="J9" s="15"/>
      <c r="L9" s="26">
        <f>'TR TE'!$L$9*'TR TE'!$L$49</f>
        <v>0</v>
      </c>
      <c r="M9" s="26">
        <f>'TR TE'!$M$9*'TR TE'!$M$49</f>
        <v>0</v>
      </c>
      <c r="N9" s="26">
        <f>'TR TE'!$N$9*'TR TE'!$N$49</f>
        <v>0</v>
      </c>
      <c r="O9" s="26">
        <f>'TR TE'!$O$9*'TR TE'!$O$49</f>
        <v>0</v>
      </c>
      <c r="P9" s="26">
        <f>'TR TE'!$P$9*'TR TE'!$P$49</f>
        <v>0</v>
      </c>
      <c r="Q9" s="26">
        <f>SUM($L$9:$P$9)</f>
        <v>0</v>
      </c>
      <c r="R9" s="26">
        <f>'TR TE'!$R$9*'TR TE'!$R$49</f>
        <v>118.75112758110555</v>
      </c>
      <c r="S9" s="26">
        <f>SUM($R$9:$R$9)</f>
        <v>118.75112758110555</v>
      </c>
      <c r="T9" s="26">
        <f>'TR TE'!$T$9*'TR TE'!$T$49</f>
        <v>0</v>
      </c>
      <c r="U9" s="26">
        <f>'TR TE'!$U$9*'TR TE'!$U$49</f>
        <v>0</v>
      </c>
      <c r="V9" s="26">
        <f>'TR TE'!$V$9*'TR TE'!$V$49</f>
        <v>0</v>
      </c>
      <c r="W9" s="26">
        <f>SUM($T$9:$V$9)</f>
        <v>0</v>
      </c>
      <c r="X9" s="26"/>
      <c r="Y9" s="26">
        <f>SUM($X$9:$X$9)</f>
        <v>0</v>
      </c>
      <c r="Z9" s="26">
        <f>'TR TE'!$Z$9*'TR TE'!$Z$49</f>
        <v>0</v>
      </c>
      <c r="AA9" s="26">
        <f>SUM($Z$9:$Z$9)</f>
        <v>0</v>
      </c>
      <c r="AB9" s="26">
        <f>SUMIF($L$4:$AA$4,"SUBTOTAL",$L$9:$AA$9)</f>
        <v>118.75112758110555</v>
      </c>
    </row>
    <row r="10" spans="1:28" ht="11.25" customHeight="1" x14ac:dyDescent="0.25">
      <c r="A10" s="113"/>
      <c r="B10" s="113"/>
      <c r="C10" s="113"/>
      <c r="D10" s="113"/>
      <c r="E10" s="113"/>
      <c r="F10" s="113"/>
      <c r="G10" s="29" t="s">
        <v>68</v>
      </c>
      <c r="H10" s="29" t="s">
        <v>66</v>
      </c>
      <c r="I10" s="29">
        <f>'MERCADO TE'!$U$7</f>
        <v>2.2109999999999999</v>
      </c>
      <c r="J10" s="15"/>
      <c r="L10" s="26">
        <f>'TR TE'!$L$10*'TR TE'!$L$49</f>
        <v>0</v>
      </c>
      <c r="M10" s="26">
        <f>'TR TE'!$M$10*'TR TE'!$M$49</f>
        <v>0</v>
      </c>
      <c r="N10" s="26">
        <f>'TR TE'!$N$10*'TR TE'!$N$49</f>
        <v>0</v>
      </c>
      <c r="O10" s="26">
        <f>'TR TE'!$O$10*'TR TE'!$O$49</f>
        <v>0</v>
      </c>
      <c r="P10" s="26">
        <f>'TR TE'!$P$10*'TR TE'!$P$49</f>
        <v>0</v>
      </c>
      <c r="Q10" s="26">
        <f>SUM($L$10:$P$10)</f>
        <v>0</v>
      </c>
      <c r="R10" s="26">
        <f>'TR TE'!$R$10*'TR TE'!$R$49</f>
        <v>118.75112758110555</v>
      </c>
      <c r="S10" s="26">
        <f>SUM($R$10:$R$10)</f>
        <v>118.75112758110555</v>
      </c>
      <c r="T10" s="26">
        <f>'TR TE'!$T$10*'TR TE'!$T$49</f>
        <v>0</v>
      </c>
      <c r="U10" s="26">
        <f>'TR TE'!$U$10*'TR TE'!$U$49</f>
        <v>0</v>
      </c>
      <c r="V10" s="26">
        <f>'TR TE'!$V$10*'TR TE'!$V$49</f>
        <v>0</v>
      </c>
      <c r="W10" s="26">
        <f>SUM($T$10:$V$10)</f>
        <v>0</v>
      </c>
      <c r="X10" s="26"/>
      <c r="Y10" s="26">
        <f>SUM($X$10:$X$10)</f>
        <v>0</v>
      </c>
      <c r="Z10" s="26">
        <f>'TR TE'!$Z$10*'TR TE'!$Z$49</f>
        <v>0</v>
      </c>
      <c r="AA10" s="26">
        <f>SUM($Z$10:$Z$10)</f>
        <v>0</v>
      </c>
      <c r="AB10" s="26">
        <f>SUMIF($L$4:$AA$4,"SUBTOTAL",$L$10:$AA$10)</f>
        <v>118.75112758110555</v>
      </c>
    </row>
    <row r="11" spans="1:28" ht="11.25" customHeight="1" x14ac:dyDescent="0.25">
      <c r="A11" s="113"/>
      <c r="B11" s="113" t="s">
        <v>69</v>
      </c>
      <c r="C11" s="113" t="s">
        <v>24</v>
      </c>
      <c r="D11" s="28" t="s">
        <v>24</v>
      </c>
      <c r="E11" s="28" t="s">
        <v>25</v>
      </c>
      <c r="F11" s="28" t="s">
        <v>25</v>
      </c>
      <c r="G11" s="29" t="s">
        <v>70</v>
      </c>
      <c r="H11" s="29" t="s">
        <v>66</v>
      </c>
      <c r="I11" s="29">
        <f>'MERCADO TE'!$U$8</f>
        <v>11826.234</v>
      </c>
      <c r="J11" s="15"/>
      <c r="L11" s="26">
        <f>'TR TE'!$L$11*'TR TE'!$L$49</f>
        <v>0</v>
      </c>
      <c r="M11" s="26">
        <f>'TR TE'!$M$11*'TR TE'!$M$49</f>
        <v>0</v>
      </c>
      <c r="N11" s="26">
        <f>'TR TE'!$N$11*'TR TE'!$N$49</f>
        <v>0</v>
      </c>
      <c r="O11" s="26">
        <f>'TR TE'!$O$11*'TR TE'!$O$49</f>
        <v>0</v>
      </c>
      <c r="P11" s="26">
        <f>'TR TE'!$P$11*'TR TE'!$P$49</f>
        <v>0</v>
      </c>
      <c r="Q11" s="26">
        <f>SUM($L$11:$P$11)</f>
        <v>0</v>
      </c>
      <c r="R11" s="26">
        <f>'TR TE'!$R$11*'TR TE'!$R$49</f>
        <v>118.75112758110555</v>
      </c>
      <c r="S11" s="26">
        <f>SUM($R$11:$R$11)</f>
        <v>118.75112758110555</v>
      </c>
      <c r="T11" s="26">
        <f>'TR TE'!$T$11*'TR TE'!$T$49</f>
        <v>0</v>
      </c>
      <c r="U11" s="26">
        <f>'TR TE'!$U$11*'TR TE'!$U$49</f>
        <v>0</v>
      </c>
      <c r="V11" s="26">
        <f>'TR TE'!$V$11*'TR TE'!$V$49</f>
        <v>0</v>
      </c>
      <c r="W11" s="26">
        <f>SUM($T$11:$V$11)</f>
        <v>0</v>
      </c>
      <c r="X11" s="26"/>
      <c r="Y11" s="26">
        <f>SUM($X$11:$X$11)</f>
        <v>0</v>
      </c>
      <c r="Z11" s="26">
        <f>'TR TE'!$Z$11*'TR TE'!$Z$49</f>
        <v>0</v>
      </c>
      <c r="AA11" s="26">
        <f>SUM($Z$11:$Z$11)</f>
        <v>0</v>
      </c>
      <c r="AB11" s="26">
        <f>SUMIF($L$4:$AA$4,"SUBTOTAL",$L$11:$AA$11)</f>
        <v>118.75112758110555</v>
      </c>
    </row>
    <row r="12" spans="1:28" ht="11.25" customHeight="1" x14ac:dyDescent="0.25">
      <c r="A12" s="113"/>
      <c r="B12" s="113"/>
      <c r="C12" s="113"/>
      <c r="D12" s="28" t="s">
        <v>29</v>
      </c>
      <c r="E12" s="28" t="s">
        <v>25</v>
      </c>
      <c r="F12" s="28" t="s">
        <v>25</v>
      </c>
      <c r="G12" s="29" t="s">
        <v>70</v>
      </c>
      <c r="H12" s="29" t="s">
        <v>66</v>
      </c>
      <c r="I12" s="29">
        <f>'MERCADO TE'!$U$9</f>
        <v>111.53999999999999</v>
      </c>
      <c r="J12" s="15"/>
      <c r="L12" s="26">
        <f>'TR TE'!$L$12*'TR TE'!$L$49</f>
        <v>0</v>
      </c>
      <c r="M12" s="26">
        <f>'TR TE'!$M$12*'TR TE'!$M$49</f>
        <v>0</v>
      </c>
      <c r="N12" s="26">
        <f>'TR TE'!$N$12*'TR TE'!$N$49</f>
        <v>0</v>
      </c>
      <c r="O12" s="26">
        <f>'TR TE'!$O$12*'TR TE'!$O$49</f>
        <v>0</v>
      </c>
      <c r="P12" s="26">
        <f>'TR TE'!$P$12*'TR TE'!$P$49</f>
        <v>0</v>
      </c>
      <c r="Q12" s="26">
        <f>SUM($L$12:$P$12)</f>
        <v>0</v>
      </c>
      <c r="R12" s="26">
        <f>'TR TE'!$R$12*'TR TE'!$R$49</f>
        <v>118.75112758110555</v>
      </c>
      <c r="S12" s="26">
        <f>SUM($R$12:$R$12)</f>
        <v>118.75112758110555</v>
      </c>
      <c r="T12" s="26">
        <f>'TR TE'!$T$12*'TR TE'!$T$49</f>
        <v>0</v>
      </c>
      <c r="U12" s="26">
        <f>'TR TE'!$U$12*'TR TE'!$U$49</f>
        <v>0</v>
      </c>
      <c r="V12" s="26">
        <f>'TR TE'!$V$12*'TR TE'!$V$49</f>
        <v>0</v>
      </c>
      <c r="W12" s="26">
        <f>SUM($T$12:$V$12)</f>
        <v>0</v>
      </c>
      <c r="X12" s="26"/>
      <c r="Y12" s="26">
        <f>SUM($X$12:$X$12)</f>
        <v>0</v>
      </c>
      <c r="Z12" s="26">
        <f>'TR TE'!$Z$12*'TR TE'!$Z$49</f>
        <v>0</v>
      </c>
      <c r="AA12" s="26">
        <f>SUM($Z$12:$Z$12)</f>
        <v>0</v>
      </c>
      <c r="AB12" s="26">
        <f>SUMIF($L$4:$AA$4,"SUBTOTAL",$L$12:$AA$12)</f>
        <v>118.75112758110555</v>
      </c>
    </row>
    <row r="13" spans="1:28" ht="11.25" customHeight="1" x14ac:dyDescent="0.25">
      <c r="A13" s="113"/>
      <c r="B13" s="113"/>
      <c r="C13" s="113"/>
      <c r="D13" s="28" t="s">
        <v>30</v>
      </c>
      <c r="E13" s="28" t="s">
        <v>25</v>
      </c>
      <c r="F13" s="28" t="s">
        <v>25</v>
      </c>
      <c r="G13" s="29" t="s">
        <v>70</v>
      </c>
      <c r="H13" s="29" t="s">
        <v>66</v>
      </c>
      <c r="I13" s="29">
        <f>'MERCADO TE'!$U$10</f>
        <v>220.67500000000001</v>
      </c>
      <c r="J13" s="15"/>
      <c r="L13" s="26">
        <f>'TR TE'!$L$13*'TR TE'!$L$49</f>
        <v>0</v>
      </c>
      <c r="M13" s="26">
        <f>'TR TE'!$M$13*'TR TE'!$M$49</f>
        <v>0</v>
      </c>
      <c r="N13" s="26">
        <f>'TR TE'!$N$13*'TR TE'!$N$49</f>
        <v>0</v>
      </c>
      <c r="O13" s="26">
        <f>'TR TE'!$O$13*'TR TE'!$O$49</f>
        <v>0</v>
      </c>
      <c r="P13" s="26">
        <f>'TR TE'!$P$13*'TR TE'!$P$49</f>
        <v>0</v>
      </c>
      <c r="Q13" s="26">
        <f>SUM($L$13:$P$13)</f>
        <v>0</v>
      </c>
      <c r="R13" s="26">
        <f>'TR TE'!$R$13*'TR TE'!$R$49</f>
        <v>118.75112758110555</v>
      </c>
      <c r="S13" s="26">
        <f>SUM($R$13:$R$13)</f>
        <v>118.75112758110555</v>
      </c>
      <c r="T13" s="26">
        <f>'TR TE'!$T$13*'TR TE'!$T$49</f>
        <v>0</v>
      </c>
      <c r="U13" s="26">
        <f>'TR TE'!$U$13*'TR TE'!$U$49</f>
        <v>0</v>
      </c>
      <c r="V13" s="26">
        <f>'TR TE'!$V$13*'TR TE'!$V$49</f>
        <v>0</v>
      </c>
      <c r="W13" s="26">
        <f>SUM($T$13:$V$13)</f>
        <v>0</v>
      </c>
      <c r="X13" s="26"/>
      <c r="Y13" s="26">
        <f>SUM($X$13:$X$13)</f>
        <v>0</v>
      </c>
      <c r="Z13" s="26">
        <f>'TR TE'!$Z$13*'TR TE'!$Z$49</f>
        <v>0</v>
      </c>
      <c r="AA13" s="26">
        <f>SUM($Z$13:$Z$13)</f>
        <v>0</v>
      </c>
      <c r="AB13" s="26">
        <f>SUMIF($L$4:$AA$4,"SUBTOTAL",$L$13:$AA$13)</f>
        <v>118.75112758110555</v>
      </c>
    </row>
    <row r="14" spans="1:28" ht="11.25" customHeight="1" x14ac:dyDescent="0.25">
      <c r="A14" s="113"/>
      <c r="B14" s="113"/>
      <c r="C14" s="113"/>
      <c r="D14" s="28" t="s">
        <v>31</v>
      </c>
      <c r="E14" s="28" t="s">
        <v>25</v>
      </c>
      <c r="F14" s="28" t="s">
        <v>25</v>
      </c>
      <c r="G14" s="29" t="s">
        <v>70</v>
      </c>
      <c r="H14" s="29" t="s">
        <v>66</v>
      </c>
      <c r="I14" s="29">
        <f>'MERCADO TE'!$U$11</f>
        <v>205.22700000000003</v>
      </c>
      <c r="J14" s="15"/>
      <c r="L14" s="26">
        <f>'TR TE'!$L$14*'TR TE'!$L$49</f>
        <v>0</v>
      </c>
      <c r="M14" s="26">
        <f>'TR TE'!$M$14*'TR TE'!$M$49</f>
        <v>0</v>
      </c>
      <c r="N14" s="26">
        <f>'TR TE'!$N$14*'TR TE'!$N$49</f>
        <v>0</v>
      </c>
      <c r="O14" s="26">
        <f>'TR TE'!$O$14*'TR TE'!$O$49</f>
        <v>0</v>
      </c>
      <c r="P14" s="26">
        <f>'TR TE'!$P$14*'TR TE'!$P$49</f>
        <v>0</v>
      </c>
      <c r="Q14" s="26">
        <f>SUM($L$14:$P$14)</f>
        <v>0</v>
      </c>
      <c r="R14" s="26">
        <f>'TR TE'!$R$14*'TR TE'!$R$49</f>
        <v>118.75112758110555</v>
      </c>
      <c r="S14" s="26">
        <f>SUM($R$14:$R$14)</f>
        <v>118.75112758110555</v>
      </c>
      <c r="T14" s="26">
        <f>'TR TE'!$T$14*'TR TE'!$T$49</f>
        <v>0</v>
      </c>
      <c r="U14" s="26">
        <f>'TR TE'!$U$14*'TR TE'!$U$49</f>
        <v>0</v>
      </c>
      <c r="V14" s="26">
        <f>'TR TE'!$V$14*'TR TE'!$V$49</f>
        <v>0</v>
      </c>
      <c r="W14" s="26">
        <f>SUM($T$14:$V$14)</f>
        <v>0</v>
      </c>
      <c r="X14" s="26"/>
      <c r="Y14" s="26">
        <f>SUM($X$14:$X$14)</f>
        <v>0</v>
      </c>
      <c r="Z14" s="26">
        <f>'TR TE'!$Z$14*'TR TE'!$Z$49</f>
        <v>0</v>
      </c>
      <c r="AA14" s="26">
        <f>SUM($Z$14:$Z$14)</f>
        <v>0</v>
      </c>
      <c r="AB14" s="26">
        <f>SUMIF($L$4:$AA$4,"SUBTOTAL",$L$14:$AA$14)</f>
        <v>118.75112758110555</v>
      </c>
    </row>
    <row r="15" spans="1:28" ht="11.25" customHeight="1" x14ac:dyDescent="0.25">
      <c r="A15" s="113"/>
      <c r="B15" s="113"/>
      <c r="C15" s="113"/>
      <c r="D15" s="28" t="s">
        <v>32</v>
      </c>
      <c r="E15" s="28" t="s">
        <v>25</v>
      </c>
      <c r="F15" s="28" t="s">
        <v>25</v>
      </c>
      <c r="G15" s="29" t="s">
        <v>70</v>
      </c>
      <c r="H15" s="29" t="s">
        <v>66</v>
      </c>
      <c r="I15" s="29">
        <f>'MERCADO TE'!$U$12</f>
        <v>75.31</v>
      </c>
      <c r="J15" s="15"/>
      <c r="L15" s="26">
        <f>'TR TE'!$L$15*'TR TE'!$L$49</f>
        <v>0</v>
      </c>
      <c r="M15" s="26">
        <f>'TR TE'!$M$15*'TR TE'!$M$49</f>
        <v>0</v>
      </c>
      <c r="N15" s="26">
        <f>'TR TE'!$N$15*'TR TE'!$N$49</f>
        <v>0</v>
      </c>
      <c r="O15" s="26">
        <f>'TR TE'!$O$15*'TR TE'!$O$49</f>
        <v>0</v>
      </c>
      <c r="P15" s="26">
        <f>'TR TE'!$P$15*'TR TE'!$P$49</f>
        <v>0</v>
      </c>
      <c r="Q15" s="26">
        <f>SUM($L$15:$P$15)</f>
        <v>0</v>
      </c>
      <c r="R15" s="26">
        <f>'TR TE'!$R$15*'TR TE'!$R$49</f>
        <v>118.75112758110555</v>
      </c>
      <c r="S15" s="26">
        <f>SUM($R$15:$R$15)</f>
        <v>118.75112758110555</v>
      </c>
      <c r="T15" s="26">
        <f>'TR TE'!$T$15*'TR TE'!$T$49</f>
        <v>0</v>
      </c>
      <c r="U15" s="26">
        <f>'TR TE'!$U$15*'TR TE'!$U$49</f>
        <v>0</v>
      </c>
      <c r="V15" s="26">
        <f>'TR TE'!$V$15*'TR TE'!$V$49</f>
        <v>0</v>
      </c>
      <c r="W15" s="26">
        <f>SUM($T$15:$V$15)</f>
        <v>0</v>
      </c>
      <c r="X15" s="26"/>
      <c r="Y15" s="26">
        <f>SUM($X$15:$X$15)</f>
        <v>0</v>
      </c>
      <c r="Z15" s="26">
        <f>'TR TE'!$Z$15*'TR TE'!$Z$49</f>
        <v>0</v>
      </c>
      <c r="AA15" s="26">
        <f>SUM($Z$15:$Z$15)</f>
        <v>0</v>
      </c>
      <c r="AB15" s="26">
        <f>SUMIF($L$4:$AA$4,"SUBTOTAL",$L$15:$AA$15)</f>
        <v>118.75112758110555</v>
      </c>
    </row>
    <row r="16" spans="1:28" ht="11.25" customHeight="1" x14ac:dyDescent="0.25">
      <c r="A16" s="113"/>
      <c r="B16" s="113" t="s">
        <v>81</v>
      </c>
      <c r="C16" s="113" t="s">
        <v>24</v>
      </c>
      <c r="D16" s="28" t="s">
        <v>24</v>
      </c>
      <c r="E16" s="28" t="s">
        <v>25</v>
      </c>
      <c r="F16" s="28" t="s">
        <v>25</v>
      </c>
      <c r="G16" s="29" t="s">
        <v>70</v>
      </c>
      <c r="H16" s="29" t="s">
        <v>66</v>
      </c>
      <c r="I16" s="29">
        <f>'MERCADO TE'!$U$13</f>
        <v>0</v>
      </c>
      <c r="J16" s="15"/>
      <c r="L16" s="26">
        <f>'TR TE'!$L$16*'TR TE'!$L$49</f>
        <v>0</v>
      </c>
      <c r="M16" s="26">
        <f>'TR TE'!$M$16*'TR TE'!$M$49</f>
        <v>0</v>
      </c>
      <c r="N16" s="26">
        <f>'TR TE'!$N$16*'TR TE'!$N$49</f>
        <v>0</v>
      </c>
      <c r="O16" s="26">
        <f>'TR TE'!$O$16*'TR TE'!$O$49</f>
        <v>0</v>
      </c>
      <c r="P16" s="26">
        <f>'TR TE'!$P$16*'TR TE'!$P$49</f>
        <v>0</v>
      </c>
      <c r="Q16" s="26">
        <f>SUM($L$16:$P$16)</f>
        <v>0</v>
      </c>
      <c r="R16" s="26">
        <f>'TR TE'!$R$16*'TR TE'!$R$49</f>
        <v>118.75112758110555</v>
      </c>
      <c r="S16" s="26">
        <f>SUM($R$16:$R$16)</f>
        <v>118.75112758110555</v>
      </c>
      <c r="T16" s="26">
        <f>'TR TE'!$T$16*'TR TE'!$T$49</f>
        <v>0</v>
      </c>
      <c r="U16" s="26">
        <f>'TR TE'!$U$16*'TR TE'!$U$49</f>
        <v>0</v>
      </c>
      <c r="V16" s="26">
        <f>'TR TE'!$V$16*'TR TE'!$V$49</f>
        <v>0</v>
      </c>
      <c r="W16" s="26">
        <f>SUM($T$16:$V$16)</f>
        <v>0</v>
      </c>
      <c r="X16" s="26"/>
      <c r="Y16" s="26">
        <f>SUM($X$16:$X$16)</f>
        <v>0</v>
      </c>
      <c r="Z16" s="26">
        <f>'TR TE'!$Z$16*'TR TE'!$Z$49</f>
        <v>0</v>
      </c>
      <c r="AA16" s="26">
        <f>SUM($Z$16:$Z$16)</f>
        <v>0</v>
      </c>
      <c r="AB16" s="26">
        <f>SUMIF($L$4:$AA$4,"SUBTOTAL",$L$16:$AA$16)</f>
        <v>118.75112758110555</v>
      </c>
    </row>
    <row r="17" spans="1:28" ht="11.25" customHeight="1" x14ac:dyDescent="0.25">
      <c r="A17" s="113"/>
      <c r="B17" s="113"/>
      <c r="C17" s="113"/>
      <c r="D17" s="28" t="s">
        <v>29</v>
      </c>
      <c r="E17" s="28" t="s">
        <v>25</v>
      </c>
      <c r="F17" s="28" t="s">
        <v>25</v>
      </c>
      <c r="G17" s="29" t="s">
        <v>70</v>
      </c>
      <c r="H17" s="29" t="s">
        <v>66</v>
      </c>
      <c r="I17" s="29">
        <f>'MERCADO TE'!$U$14</f>
        <v>0</v>
      </c>
      <c r="J17" s="15"/>
      <c r="L17" s="26">
        <f>'TR TE'!$L$17*'TR TE'!$L$49</f>
        <v>0</v>
      </c>
      <c r="M17" s="26">
        <f>'TR TE'!$M$17*'TR TE'!$M$49</f>
        <v>0</v>
      </c>
      <c r="N17" s="26">
        <f>'TR TE'!$N$17*'TR TE'!$N$49</f>
        <v>0</v>
      </c>
      <c r="O17" s="26">
        <f>'TR TE'!$O$17*'TR TE'!$O$49</f>
        <v>0</v>
      </c>
      <c r="P17" s="26">
        <f>'TR TE'!$P$17*'TR TE'!$P$49</f>
        <v>0</v>
      </c>
      <c r="Q17" s="26">
        <f>SUM($L$17:$P$17)</f>
        <v>0</v>
      </c>
      <c r="R17" s="26">
        <f>'TR TE'!$R$17*'TR TE'!$R$49</f>
        <v>118.75112758110555</v>
      </c>
      <c r="S17" s="26">
        <f>SUM($R$17:$R$17)</f>
        <v>118.75112758110555</v>
      </c>
      <c r="T17" s="26">
        <f>'TR TE'!$T$17*'TR TE'!$T$49</f>
        <v>0</v>
      </c>
      <c r="U17" s="26">
        <f>'TR TE'!$U$17*'TR TE'!$U$49</f>
        <v>0</v>
      </c>
      <c r="V17" s="26">
        <f>'TR TE'!$V$17*'TR TE'!$V$49</f>
        <v>0</v>
      </c>
      <c r="W17" s="26">
        <f>SUM($T$17:$V$17)</f>
        <v>0</v>
      </c>
      <c r="X17" s="26"/>
      <c r="Y17" s="26">
        <f>SUM($X$17:$X$17)</f>
        <v>0</v>
      </c>
      <c r="Z17" s="26">
        <f>'TR TE'!$Z$17*'TR TE'!$Z$49</f>
        <v>0</v>
      </c>
      <c r="AA17" s="26">
        <f>SUM($Z$17:$Z$17)</f>
        <v>0</v>
      </c>
      <c r="AB17" s="26">
        <f>SUMIF($L$4:$AA$4,"SUBTOTAL",$L$17:$AA$17)</f>
        <v>118.75112758110555</v>
      </c>
    </row>
    <row r="18" spans="1:28" ht="11.25" customHeight="1" x14ac:dyDescent="0.25">
      <c r="A18" s="113"/>
      <c r="B18" s="113"/>
      <c r="C18" s="113"/>
      <c r="D18" s="28" t="s">
        <v>30</v>
      </c>
      <c r="E18" s="28" t="s">
        <v>25</v>
      </c>
      <c r="F18" s="28" t="s">
        <v>25</v>
      </c>
      <c r="G18" s="29" t="s">
        <v>70</v>
      </c>
      <c r="H18" s="29" t="s">
        <v>66</v>
      </c>
      <c r="I18" s="29">
        <f>'MERCADO TE'!$U$15</f>
        <v>0</v>
      </c>
      <c r="J18" s="15"/>
      <c r="L18" s="26">
        <f>'TR TE'!$L$18*'TR TE'!$L$49</f>
        <v>0</v>
      </c>
      <c r="M18" s="26">
        <f>'TR TE'!$M$18*'TR TE'!$M$49</f>
        <v>0</v>
      </c>
      <c r="N18" s="26">
        <f>'TR TE'!$N$18*'TR TE'!$N$49</f>
        <v>0</v>
      </c>
      <c r="O18" s="26">
        <f>'TR TE'!$O$18*'TR TE'!$O$49</f>
        <v>0</v>
      </c>
      <c r="P18" s="26">
        <f>'TR TE'!$P$18*'TR TE'!$P$49</f>
        <v>0</v>
      </c>
      <c r="Q18" s="26">
        <f>SUM($L$18:$P$18)</f>
        <v>0</v>
      </c>
      <c r="R18" s="26">
        <f>'TR TE'!$R$18*'TR TE'!$R$49</f>
        <v>118.75112758110555</v>
      </c>
      <c r="S18" s="26">
        <f>SUM($R$18:$R$18)</f>
        <v>118.75112758110555</v>
      </c>
      <c r="T18" s="26">
        <f>'TR TE'!$T$18*'TR TE'!$T$49</f>
        <v>0</v>
      </c>
      <c r="U18" s="26">
        <f>'TR TE'!$U$18*'TR TE'!$U$49</f>
        <v>0</v>
      </c>
      <c r="V18" s="26">
        <f>'TR TE'!$V$18*'TR TE'!$V$49</f>
        <v>0</v>
      </c>
      <c r="W18" s="26">
        <f>SUM($T$18:$V$18)</f>
        <v>0</v>
      </c>
      <c r="X18" s="26"/>
      <c r="Y18" s="26">
        <f>SUM($X$18:$X$18)</f>
        <v>0</v>
      </c>
      <c r="Z18" s="26">
        <f>'TR TE'!$Z$18*'TR TE'!$Z$49</f>
        <v>0</v>
      </c>
      <c r="AA18" s="26">
        <f>SUM($Z$18:$Z$18)</f>
        <v>0</v>
      </c>
      <c r="AB18" s="26">
        <f>SUMIF($L$4:$AA$4,"SUBTOTAL",$L$18:$AA$18)</f>
        <v>118.75112758110555</v>
      </c>
    </row>
    <row r="19" spans="1:28" ht="11.25" customHeight="1" x14ac:dyDescent="0.25">
      <c r="A19" s="113"/>
      <c r="B19" s="113"/>
      <c r="C19" s="113"/>
      <c r="D19" s="28" t="s">
        <v>31</v>
      </c>
      <c r="E19" s="28" t="s">
        <v>25</v>
      </c>
      <c r="F19" s="28" t="s">
        <v>25</v>
      </c>
      <c r="G19" s="29" t="s">
        <v>70</v>
      </c>
      <c r="H19" s="29" t="s">
        <v>66</v>
      </c>
      <c r="I19" s="29">
        <f>'MERCADO TE'!$U$16</f>
        <v>0</v>
      </c>
      <c r="J19" s="15"/>
      <c r="L19" s="26">
        <f>'TR TE'!$L$19*'TR TE'!$L$49</f>
        <v>0</v>
      </c>
      <c r="M19" s="26">
        <f>'TR TE'!$M$19*'TR TE'!$M$49</f>
        <v>0</v>
      </c>
      <c r="N19" s="26">
        <f>'TR TE'!$N$19*'TR TE'!$N$49</f>
        <v>0</v>
      </c>
      <c r="O19" s="26">
        <f>'TR TE'!$O$19*'TR TE'!$O$49</f>
        <v>0</v>
      </c>
      <c r="P19" s="26">
        <f>'TR TE'!$P$19*'TR TE'!$P$49</f>
        <v>0</v>
      </c>
      <c r="Q19" s="26">
        <f>SUM($L$19:$P$19)</f>
        <v>0</v>
      </c>
      <c r="R19" s="26">
        <f>'TR TE'!$R$19*'TR TE'!$R$49</f>
        <v>118.75112758110555</v>
      </c>
      <c r="S19" s="26">
        <f>SUM($R$19:$R$19)</f>
        <v>118.75112758110555</v>
      </c>
      <c r="T19" s="26">
        <f>'TR TE'!$T$19*'TR TE'!$T$49</f>
        <v>0</v>
      </c>
      <c r="U19" s="26">
        <f>'TR TE'!$U$19*'TR TE'!$U$49</f>
        <v>0</v>
      </c>
      <c r="V19" s="26">
        <f>'TR TE'!$V$19*'TR TE'!$V$49</f>
        <v>0</v>
      </c>
      <c r="W19" s="26">
        <f>SUM($T$19:$V$19)</f>
        <v>0</v>
      </c>
      <c r="X19" s="26"/>
      <c r="Y19" s="26">
        <f>SUM($X$19:$X$19)</f>
        <v>0</v>
      </c>
      <c r="Z19" s="26">
        <f>'TR TE'!$Z$19*'TR TE'!$Z$49</f>
        <v>0</v>
      </c>
      <c r="AA19" s="26">
        <f>SUM($Z$19:$Z$19)</f>
        <v>0</v>
      </c>
      <c r="AB19" s="26">
        <f>SUMIF($L$4:$AA$4,"SUBTOTAL",$L$19:$AA$19)</f>
        <v>118.75112758110555</v>
      </c>
    </row>
    <row r="20" spans="1:28" ht="11.25" customHeight="1" x14ac:dyDescent="0.25">
      <c r="A20" s="113"/>
      <c r="B20" s="113"/>
      <c r="C20" s="113"/>
      <c r="D20" s="28" t="s">
        <v>32</v>
      </c>
      <c r="E20" s="28" t="s">
        <v>25</v>
      </c>
      <c r="F20" s="28" t="s">
        <v>25</v>
      </c>
      <c r="G20" s="29" t="s">
        <v>70</v>
      </c>
      <c r="H20" s="29" t="s">
        <v>66</v>
      </c>
      <c r="I20" s="29">
        <f>'MERCADO TE'!$U$17</f>
        <v>0</v>
      </c>
      <c r="J20" s="15"/>
      <c r="L20" s="26">
        <f>'TR TE'!$L$20*'TR TE'!$L$49</f>
        <v>0</v>
      </c>
      <c r="M20" s="26">
        <f>'TR TE'!$M$20*'TR TE'!$M$49</f>
        <v>0</v>
      </c>
      <c r="N20" s="26">
        <f>'TR TE'!$N$20*'TR TE'!$N$49</f>
        <v>0</v>
      </c>
      <c r="O20" s="26">
        <f>'TR TE'!$O$20*'TR TE'!$O$49</f>
        <v>0</v>
      </c>
      <c r="P20" s="26">
        <f>'TR TE'!$P$20*'TR TE'!$P$49</f>
        <v>0</v>
      </c>
      <c r="Q20" s="26">
        <f>SUM($L$20:$P$20)</f>
        <v>0</v>
      </c>
      <c r="R20" s="26">
        <f>'TR TE'!$R$20*'TR TE'!$R$49</f>
        <v>118.75112758110555</v>
      </c>
      <c r="S20" s="26">
        <f>SUM($R$20:$R$20)</f>
        <v>118.75112758110555</v>
      </c>
      <c r="T20" s="26">
        <f>'TR TE'!$T$20*'TR TE'!$T$49</f>
        <v>0</v>
      </c>
      <c r="U20" s="26">
        <f>'TR TE'!$U$20*'TR TE'!$U$49</f>
        <v>0</v>
      </c>
      <c r="V20" s="26">
        <f>'TR TE'!$V$20*'TR TE'!$V$49</f>
        <v>0</v>
      </c>
      <c r="W20" s="26">
        <f>SUM($T$20:$V$20)</f>
        <v>0</v>
      </c>
      <c r="X20" s="26"/>
      <c r="Y20" s="26">
        <f>SUM($X$20:$X$20)</f>
        <v>0</v>
      </c>
      <c r="Z20" s="26">
        <f>'TR TE'!$Z$20*'TR TE'!$Z$49</f>
        <v>0</v>
      </c>
      <c r="AA20" s="26">
        <f>SUM($Z$20:$Z$20)</f>
        <v>0</v>
      </c>
      <c r="AB20" s="26">
        <f>SUMIF($L$4:$AA$4,"SUBTOTAL",$L$20:$AA$20)</f>
        <v>118.75112758110555</v>
      </c>
    </row>
    <row r="21" spans="1:28" ht="11.25" customHeight="1" x14ac:dyDescent="0.25">
      <c r="A21" s="113" t="s">
        <v>41</v>
      </c>
      <c r="B21" s="113" t="s">
        <v>65</v>
      </c>
      <c r="C21" s="113" t="s">
        <v>42</v>
      </c>
      <c r="D21" s="113" t="s">
        <v>25</v>
      </c>
      <c r="E21" s="113" t="s">
        <v>25</v>
      </c>
      <c r="F21" s="113" t="s">
        <v>25</v>
      </c>
      <c r="G21" s="29" t="s">
        <v>67</v>
      </c>
      <c r="H21" s="29" t="s">
        <v>66</v>
      </c>
      <c r="I21" s="29">
        <f>'MERCADO TE'!$U$18</f>
        <v>0</v>
      </c>
      <c r="J21" s="15"/>
      <c r="L21" s="26">
        <f>'TR TE'!$L$21*'TR TE'!$L$49</f>
        <v>0</v>
      </c>
      <c r="M21" s="26">
        <f>'TR TE'!$M$21*'TR TE'!$M$49</f>
        <v>0</v>
      </c>
      <c r="N21" s="26">
        <f>'TR TE'!$N$21*'TR TE'!$N$49</f>
        <v>0</v>
      </c>
      <c r="O21" s="26">
        <f>'TR TE'!$O$21*'TR TE'!$O$49</f>
        <v>0</v>
      </c>
      <c r="P21" s="26">
        <f>'TR TE'!$P$21*'TR TE'!$P$49</f>
        <v>0</v>
      </c>
      <c r="Q21" s="26">
        <f>SUM($L$21:$P$21)</f>
        <v>0</v>
      </c>
      <c r="R21" s="26">
        <f>'TR TE'!$R$21*'TR TE'!$R$49</f>
        <v>118.75112758110555</v>
      </c>
      <c r="S21" s="26">
        <f>SUM($R$21:$R$21)</f>
        <v>118.75112758110555</v>
      </c>
      <c r="T21" s="26">
        <f>'TR TE'!$T$21*'TR TE'!$T$49</f>
        <v>0</v>
      </c>
      <c r="U21" s="26">
        <f>'TR TE'!$U$21*'TR TE'!$U$49</f>
        <v>0</v>
      </c>
      <c r="V21" s="26">
        <f>'TR TE'!$V$21*'TR TE'!$V$49</f>
        <v>0</v>
      </c>
      <c r="W21" s="26">
        <f>SUM($T$21:$V$21)</f>
        <v>0</v>
      </c>
      <c r="X21" s="26"/>
      <c r="Y21" s="26">
        <f>SUM($X$21:$X$21)</f>
        <v>0</v>
      </c>
      <c r="Z21" s="26">
        <f>'TR TE'!$Z$21*'TR TE'!$Z$49</f>
        <v>0</v>
      </c>
      <c r="AA21" s="26">
        <f>SUM($Z$21:$Z$21)</f>
        <v>0</v>
      </c>
      <c r="AB21" s="26">
        <f>SUMIF($L$4:$AA$4,"SUBTOTAL",$L$21:$AA$21)</f>
        <v>118.75112758110555</v>
      </c>
    </row>
    <row r="22" spans="1:28" ht="11.25" customHeight="1" x14ac:dyDescent="0.25">
      <c r="A22" s="113"/>
      <c r="B22" s="113"/>
      <c r="C22" s="113"/>
      <c r="D22" s="113"/>
      <c r="E22" s="113"/>
      <c r="F22" s="113"/>
      <c r="G22" s="29" t="s">
        <v>80</v>
      </c>
      <c r="H22" s="29" t="s">
        <v>66</v>
      </c>
      <c r="I22" s="29">
        <f>'MERCADO TE'!$U$19</f>
        <v>0</v>
      </c>
      <c r="J22" s="15"/>
      <c r="L22" s="26">
        <f>'TR TE'!$L$22*'TR TE'!$L$49</f>
        <v>0</v>
      </c>
      <c r="M22" s="26">
        <f>'TR TE'!$M$22*'TR TE'!$M$49</f>
        <v>0</v>
      </c>
      <c r="N22" s="26">
        <f>'TR TE'!$N$22*'TR TE'!$N$49</f>
        <v>0</v>
      </c>
      <c r="O22" s="26">
        <f>'TR TE'!$O$22*'TR TE'!$O$49</f>
        <v>0</v>
      </c>
      <c r="P22" s="26">
        <f>'TR TE'!$P$22*'TR TE'!$P$49</f>
        <v>0</v>
      </c>
      <c r="Q22" s="26">
        <f>SUM($L$22:$P$22)</f>
        <v>0</v>
      </c>
      <c r="R22" s="26">
        <f>'TR TE'!$R$22*'TR TE'!$R$49</f>
        <v>118.75112758110555</v>
      </c>
      <c r="S22" s="26">
        <f>SUM($R$22:$R$22)</f>
        <v>118.75112758110555</v>
      </c>
      <c r="T22" s="26">
        <f>'TR TE'!$T$22*'TR TE'!$T$49</f>
        <v>0</v>
      </c>
      <c r="U22" s="26">
        <f>'TR TE'!$U$22*'TR TE'!$U$49</f>
        <v>0</v>
      </c>
      <c r="V22" s="26">
        <f>'TR TE'!$V$22*'TR TE'!$V$49</f>
        <v>0</v>
      </c>
      <c r="W22" s="26">
        <f>SUM($T$22:$V$22)</f>
        <v>0</v>
      </c>
      <c r="X22" s="26"/>
      <c r="Y22" s="26">
        <f>SUM($X$22:$X$22)</f>
        <v>0</v>
      </c>
      <c r="Z22" s="26">
        <f>'TR TE'!$Z$22*'TR TE'!$Z$49</f>
        <v>0</v>
      </c>
      <c r="AA22" s="26">
        <f>SUM($Z$22:$Z$22)</f>
        <v>0</v>
      </c>
      <c r="AB22" s="26">
        <f>SUMIF($L$4:$AA$4,"SUBTOTAL",$L$22:$AA$22)</f>
        <v>118.75112758110555</v>
      </c>
    </row>
    <row r="23" spans="1:28" ht="11.25" customHeight="1" x14ac:dyDescent="0.25">
      <c r="A23" s="113"/>
      <c r="B23" s="113"/>
      <c r="C23" s="113"/>
      <c r="D23" s="113"/>
      <c r="E23" s="113"/>
      <c r="F23" s="113"/>
      <c r="G23" s="29" t="s">
        <v>68</v>
      </c>
      <c r="H23" s="29" t="s">
        <v>66</v>
      </c>
      <c r="I23" s="29">
        <f>'MERCADO TE'!$U$20</f>
        <v>0</v>
      </c>
      <c r="J23" s="15"/>
      <c r="L23" s="26">
        <f>'TR TE'!$L$23*'TR TE'!$L$49</f>
        <v>0</v>
      </c>
      <c r="M23" s="26">
        <f>'TR TE'!$M$23*'TR TE'!$M$49</f>
        <v>0</v>
      </c>
      <c r="N23" s="26">
        <f>'TR TE'!$N$23*'TR TE'!$N$49</f>
        <v>0</v>
      </c>
      <c r="O23" s="26">
        <f>'TR TE'!$O$23*'TR TE'!$O$49</f>
        <v>0</v>
      </c>
      <c r="P23" s="26">
        <f>'TR TE'!$P$23*'TR TE'!$P$49</f>
        <v>0</v>
      </c>
      <c r="Q23" s="26">
        <f>SUM($L$23:$P$23)</f>
        <v>0</v>
      </c>
      <c r="R23" s="26">
        <f>'TR TE'!$R$23*'TR TE'!$R$49</f>
        <v>118.75112758110555</v>
      </c>
      <c r="S23" s="26">
        <f>SUM($R$23:$R$23)</f>
        <v>118.75112758110555</v>
      </c>
      <c r="T23" s="26">
        <f>'TR TE'!$T$23*'TR TE'!$T$49</f>
        <v>0</v>
      </c>
      <c r="U23" s="26">
        <f>'TR TE'!$U$23*'TR TE'!$U$49</f>
        <v>0</v>
      </c>
      <c r="V23" s="26">
        <f>'TR TE'!$V$23*'TR TE'!$V$49</f>
        <v>0</v>
      </c>
      <c r="W23" s="26">
        <f>SUM($T$23:$V$23)</f>
        <v>0</v>
      </c>
      <c r="X23" s="26"/>
      <c r="Y23" s="26">
        <f>SUM($X$23:$X$23)</f>
        <v>0</v>
      </c>
      <c r="Z23" s="26">
        <f>'TR TE'!$Z$23*'TR TE'!$Z$49</f>
        <v>0</v>
      </c>
      <c r="AA23" s="26">
        <f>SUM($Z$23:$Z$23)</f>
        <v>0</v>
      </c>
      <c r="AB23" s="26">
        <f>SUMIF($L$4:$AA$4,"SUBTOTAL",$L$23:$AA$23)</f>
        <v>118.75112758110555</v>
      </c>
    </row>
    <row r="24" spans="1:28" ht="11.25" customHeight="1" x14ac:dyDescent="0.25">
      <c r="A24" s="113"/>
      <c r="B24" s="28" t="s">
        <v>69</v>
      </c>
      <c r="C24" s="28" t="s">
        <v>42</v>
      </c>
      <c r="D24" s="28" t="s">
        <v>25</v>
      </c>
      <c r="E24" s="28" t="s">
        <v>25</v>
      </c>
      <c r="F24" s="28" t="s">
        <v>25</v>
      </c>
      <c r="G24" s="29" t="s">
        <v>70</v>
      </c>
      <c r="H24" s="29" t="s">
        <v>66</v>
      </c>
      <c r="I24" s="29">
        <f>'MERCADO TE'!$U$21</f>
        <v>674.72400000000005</v>
      </c>
      <c r="J24" s="15"/>
      <c r="L24" s="26">
        <f>'TR TE'!$L$24*'TR TE'!$L$49</f>
        <v>0</v>
      </c>
      <c r="M24" s="26">
        <f>'TR TE'!$M$24*'TR TE'!$M$49</f>
        <v>0</v>
      </c>
      <c r="N24" s="26">
        <f>'TR TE'!$N$24*'TR TE'!$N$49</f>
        <v>0</v>
      </c>
      <c r="O24" s="26">
        <f>'TR TE'!$O$24*'TR TE'!$O$49</f>
        <v>0</v>
      </c>
      <c r="P24" s="26">
        <f>'TR TE'!$P$24*'TR TE'!$P$49</f>
        <v>0</v>
      </c>
      <c r="Q24" s="26">
        <f>SUM($L$24:$P$24)</f>
        <v>0</v>
      </c>
      <c r="R24" s="26">
        <f>'TR TE'!$R$24*'TR TE'!$R$49</f>
        <v>118.75112758110555</v>
      </c>
      <c r="S24" s="26">
        <f>SUM($R$24:$R$24)</f>
        <v>118.75112758110555</v>
      </c>
      <c r="T24" s="26">
        <f>'TR TE'!$T$24*'TR TE'!$T$49</f>
        <v>0</v>
      </c>
      <c r="U24" s="26">
        <f>'TR TE'!$U$24*'TR TE'!$U$49</f>
        <v>0</v>
      </c>
      <c r="V24" s="26">
        <f>'TR TE'!$V$24*'TR TE'!$V$49</f>
        <v>0</v>
      </c>
      <c r="W24" s="26">
        <f>SUM($T$24:$V$24)</f>
        <v>0</v>
      </c>
      <c r="X24" s="26"/>
      <c r="Y24" s="26">
        <f>SUM($X$24:$X$24)</f>
        <v>0</v>
      </c>
      <c r="Z24" s="26">
        <f>'TR TE'!$Z$24*'TR TE'!$Z$49</f>
        <v>0</v>
      </c>
      <c r="AA24" s="26">
        <f>SUM($Z$24:$Z$24)</f>
        <v>0</v>
      </c>
      <c r="AB24" s="26">
        <f>SUMIF($L$4:$AA$4,"SUBTOTAL",$L$24:$AA$24)</f>
        <v>118.75112758110555</v>
      </c>
    </row>
    <row r="25" spans="1:28" ht="11.25" customHeight="1" x14ac:dyDescent="0.25">
      <c r="A25" s="113"/>
      <c r="B25" s="113" t="s">
        <v>65</v>
      </c>
      <c r="C25" s="113" t="s">
        <v>42</v>
      </c>
      <c r="D25" s="113" t="s">
        <v>83</v>
      </c>
      <c r="E25" s="113" t="s">
        <v>25</v>
      </c>
      <c r="F25" s="113" t="s">
        <v>25</v>
      </c>
      <c r="G25" s="29" t="s">
        <v>67</v>
      </c>
      <c r="H25" s="29" t="s">
        <v>66</v>
      </c>
      <c r="I25" s="29">
        <f>'MERCADO TE'!$U$22</f>
        <v>0</v>
      </c>
      <c r="J25" s="15"/>
      <c r="L25" s="26">
        <f>'TR TE'!$L$25*'TR TE'!$L$49</f>
        <v>0</v>
      </c>
      <c r="M25" s="26">
        <f>'TR TE'!$M$25*'TR TE'!$M$49</f>
        <v>0</v>
      </c>
      <c r="N25" s="26">
        <f>'TR TE'!$N$25*'TR TE'!$N$49</f>
        <v>0</v>
      </c>
      <c r="O25" s="26">
        <f>'TR TE'!$O$25*'TR TE'!$O$49</f>
        <v>0</v>
      </c>
      <c r="P25" s="26">
        <f>'TR TE'!$P$25*'TR TE'!$P$49</f>
        <v>0</v>
      </c>
      <c r="Q25" s="26">
        <f>SUM($L$25:$P$25)</f>
        <v>0</v>
      </c>
      <c r="R25" s="26">
        <f>'TR TE'!$R$25*'TR TE'!$R$49</f>
        <v>118.75112758110555</v>
      </c>
      <c r="S25" s="26">
        <f>SUM($R$25:$R$25)</f>
        <v>118.75112758110555</v>
      </c>
      <c r="T25" s="26">
        <f>'TR TE'!$T$25*'TR TE'!$T$49</f>
        <v>0</v>
      </c>
      <c r="U25" s="26">
        <f>'TR TE'!$U$25*'TR TE'!$U$49</f>
        <v>0</v>
      </c>
      <c r="V25" s="26">
        <f>'TR TE'!$V$25*'TR TE'!$V$49</f>
        <v>0</v>
      </c>
      <c r="W25" s="26">
        <f>SUM($T$25:$V$25)</f>
        <v>0</v>
      </c>
      <c r="X25" s="26"/>
      <c r="Y25" s="26">
        <f>SUM($X$25:$X$25)</f>
        <v>0</v>
      </c>
      <c r="Z25" s="26">
        <f>'TR TE'!$Z$25*'TR TE'!$Z$49</f>
        <v>0</v>
      </c>
      <c r="AA25" s="26">
        <f>SUM($Z$25:$Z$25)</f>
        <v>0</v>
      </c>
      <c r="AB25" s="26">
        <f>SUMIF($L$4:$AA$4,"SUBTOTAL",$L$25:$AA$25)</f>
        <v>118.75112758110555</v>
      </c>
    </row>
    <row r="26" spans="1:28" ht="11.25" customHeight="1" x14ac:dyDescent="0.25">
      <c r="A26" s="113"/>
      <c r="B26" s="113"/>
      <c r="C26" s="113"/>
      <c r="D26" s="113"/>
      <c r="E26" s="113"/>
      <c r="F26" s="113"/>
      <c r="G26" s="29" t="s">
        <v>80</v>
      </c>
      <c r="H26" s="29" t="s">
        <v>66</v>
      </c>
      <c r="I26" s="29">
        <f>'MERCADO TE'!$U$23</f>
        <v>0</v>
      </c>
      <c r="J26" s="15"/>
      <c r="L26" s="26">
        <f>'TR TE'!$L$26*'TR TE'!$L$49</f>
        <v>0</v>
      </c>
      <c r="M26" s="26">
        <f>'TR TE'!$M$26*'TR TE'!$M$49</f>
        <v>0</v>
      </c>
      <c r="N26" s="26">
        <f>'TR TE'!$N$26*'TR TE'!$N$49</f>
        <v>0</v>
      </c>
      <c r="O26" s="26">
        <f>'TR TE'!$O$26*'TR TE'!$O$49</f>
        <v>0</v>
      </c>
      <c r="P26" s="26">
        <f>'TR TE'!$P$26*'TR TE'!$P$49</f>
        <v>0</v>
      </c>
      <c r="Q26" s="26">
        <f>SUM($L$26:$P$26)</f>
        <v>0</v>
      </c>
      <c r="R26" s="26">
        <f>'TR TE'!$R$26*'TR TE'!$R$49</f>
        <v>118.75112758110555</v>
      </c>
      <c r="S26" s="26">
        <f>SUM($R$26:$R$26)</f>
        <v>118.75112758110555</v>
      </c>
      <c r="T26" s="26">
        <f>'TR TE'!$T$26*'TR TE'!$T$49</f>
        <v>0</v>
      </c>
      <c r="U26" s="26">
        <f>'TR TE'!$U$26*'TR TE'!$U$49</f>
        <v>0</v>
      </c>
      <c r="V26" s="26">
        <f>'TR TE'!$V$26*'TR TE'!$V$49</f>
        <v>0</v>
      </c>
      <c r="W26" s="26">
        <f>SUM($T$26:$V$26)</f>
        <v>0</v>
      </c>
      <c r="X26" s="26"/>
      <c r="Y26" s="26">
        <f>SUM($X$26:$X$26)</f>
        <v>0</v>
      </c>
      <c r="Z26" s="26">
        <f>'TR TE'!$Z$26*'TR TE'!$Z$49</f>
        <v>0</v>
      </c>
      <c r="AA26" s="26">
        <f>SUM($Z$26:$Z$26)</f>
        <v>0</v>
      </c>
      <c r="AB26" s="26">
        <f>SUMIF($L$4:$AA$4,"SUBTOTAL",$L$26:$AA$26)</f>
        <v>118.75112758110555</v>
      </c>
    </row>
    <row r="27" spans="1:28" ht="11.25" customHeight="1" x14ac:dyDescent="0.25">
      <c r="A27" s="113"/>
      <c r="B27" s="113"/>
      <c r="C27" s="113"/>
      <c r="D27" s="113"/>
      <c r="E27" s="113"/>
      <c r="F27" s="113"/>
      <c r="G27" s="29" t="s">
        <v>68</v>
      </c>
      <c r="H27" s="29" t="s">
        <v>66</v>
      </c>
      <c r="I27" s="29">
        <f>'MERCADO TE'!$U$24</f>
        <v>0</v>
      </c>
      <c r="J27" s="15"/>
      <c r="L27" s="26">
        <f>'TR TE'!$L$27*'TR TE'!$L$49</f>
        <v>0</v>
      </c>
      <c r="M27" s="26">
        <f>'TR TE'!$M$27*'TR TE'!$M$49</f>
        <v>0</v>
      </c>
      <c r="N27" s="26">
        <f>'TR TE'!$N$27*'TR TE'!$N$49</f>
        <v>0</v>
      </c>
      <c r="O27" s="26">
        <f>'TR TE'!$O$27*'TR TE'!$O$49</f>
        <v>0</v>
      </c>
      <c r="P27" s="26">
        <f>'TR TE'!$P$27*'TR TE'!$P$49</f>
        <v>0</v>
      </c>
      <c r="Q27" s="26">
        <f>SUM($L$27:$P$27)</f>
        <v>0</v>
      </c>
      <c r="R27" s="26">
        <f>'TR TE'!$R$27*'TR TE'!$R$49</f>
        <v>118.75112758110555</v>
      </c>
      <c r="S27" s="26">
        <f>SUM($R$27:$R$27)</f>
        <v>118.75112758110555</v>
      </c>
      <c r="T27" s="26">
        <f>'TR TE'!$T$27*'TR TE'!$T$49</f>
        <v>0</v>
      </c>
      <c r="U27" s="26">
        <f>'TR TE'!$U$27*'TR TE'!$U$49</f>
        <v>0</v>
      </c>
      <c r="V27" s="26">
        <f>'TR TE'!$V$27*'TR TE'!$V$49</f>
        <v>0</v>
      </c>
      <c r="W27" s="26">
        <f>SUM($T$27:$V$27)</f>
        <v>0</v>
      </c>
      <c r="X27" s="26"/>
      <c r="Y27" s="26">
        <f>SUM($X$27:$X$27)</f>
        <v>0</v>
      </c>
      <c r="Z27" s="26">
        <f>'TR TE'!$Z$27*'TR TE'!$Z$49</f>
        <v>0</v>
      </c>
      <c r="AA27" s="26">
        <f>SUM($Z$27:$Z$27)</f>
        <v>0</v>
      </c>
      <c r="AB27" s="26">
        <f>SUMIF($L$4:$AA$4,"SUBTOTAL",$L$27:$AA$27)</f>
        <v>118.75112758110555</v>
      </c>
    </row>
    <row r="28" spans="1:28" ht="11.25" customHeight="1" x14ac:dyDescent="0.25">
      <c r="A28" s="113"/>
      <c r="B28" s="28" t="s">
        <v>69</v>
      </c>
      <c r="C28" s="28" t="s">
        <v>42</v>
      </c>
      <c r="D28" s="28" t="s">
        <v>83</v>
      </c>
      <c r="E28" s="28" t="s">
        <v>25</v>
      </c>
      <c r="F28" s="28" t="s">
        <v>25</v>
      </c>
      <c r="G28" s="29" t="s">
        <v>70</v>
      </c>
      <c r="H28" s="29" t="s">
        <v>66</v>
      </c>
      <c r="I28" s="29">
        <f>'MERCADO TE'!$U$25</f>
        <v>0</v>
      </c>
      <c r="J28" s="15"/>
      <c r="L28" s="26">
        <f>'TR TE'!$L$28*'TR TE'!$L$49</f>
        <v>0</v>
      </c>
      <c r="M28" s="26">
        <f>'TR TE'!$M$28*'TR TE'!$M$49</f>
        <v>0</v>
      </c>
      <c r="N28" s="26">
        <f>'TR TE'!$N$28*'TR TE'!$N$49</f>
        <v>0</v>
      </c>
      <c r="O28" s="26">
        <f>'TR TE'!$O$28*'TR TE'!$O$49</f>
        <v>0</v>
      </c>
      <c r="P28" s="26">
        <f>'TR TE'!$P$28*'TR TE'!$P$49</f>
        <v>0</v>
      </c>
      <c r="Q28" s="26">
        <f>SUM($L$28:$P$28)</f>
        <v>0</v>
      </c>
      <c r="R28" s="26">
        <f>'TR TE'!$R$28*'TR TE'!$R$49</f>
        <v>118.75112758110555</v>
      </c>
      <c r="S28" s="26">
        <f>SUM($R$28:$R$28)</f>
        <v>118.75112758110555</v>
      </c>
      <c r="T28" s="26">
        <f>'TR TE'!$T$28*'TR TE'!$T$49</f>
        <v>0</v>
      </c>
      <c r="U28" s="26">
        <f>'TR TE'!$U$28*'TR TE'!$U$49</f>
        <v>0</v>
      </c>
      <c r="V28" s="26">
        <f>'TR TE'!$V$28*'TR TE'!$V$49</f>
        <v>0</v>
      </c>
      <c r="W28" s="26">
        <f>SUM($T$28:$V$28)</f>
        <v>0</v>
      </c>
      <c r="X28" s="26"/>
      <c r="Y28" s="26">
        <f>SUM($X$28:$X$28)</f>
        <v>0</v>
      </c>
      <c r="Z28" s="26">
        <f>'TR TE'!$Z$28*'TR TE'!$Z$49</f>
        <v>0</v>
      </c>
      <c r="AA28" s="26">
        <f>SUM($Z$28:$Z$28)</f>
        <v>0</v>
      </c>
      <c r="AB28" s="26">
        <f>SUMIF($L$4:$AA$4,"SUBTOTAL",$L$28:$AA$28)</f>
        <v>118.75112758110555</v>
      </c>
    </row>
    <row r="29" spans="1:28" ht="11.25" customHeight="1" x14ac:dyDescent="0.25">
      <c r="A29" s="113"/>
      <c r="B29" s="113" t="s">
        <v>65</v>
      </c>
      <c r="C29" s="113" t="s">
        <v>42</v>
      </c>
      <c r="D29" s="113" t="s">
        <v>84</v>
      </c>
      <c r="E29" s="113" t="s">
        <v>25</v>
      </c>
      <c r="F29" s="113" t="s">
        <v>25</v>
      </c>
      <c r="G29" s="29" t="s">
        <v>67</v>
      </c>
      <c r="H29" s="29" t="s">
        <v>66</v>
      </c>
      <c r="I29" s="29">
        <f>'MERCADO TE'!$U$26</f>
        <v>0</v>
      </c>
      <c r="J29" s="15"/>
      <c r="L29" s="26">
        <f>'TR TE'!$L$29*'TR TE'!$L$49</f>
        <v>0</v>
      </c>
      <c r="M29" s="26">
        <f>'TR TE'!$M$29*'TR TE'!$M$49</f>
        <v>0</v>
      </c>
      <c r="N29" s="26">
        <f>'TR TE'!$N$29*'TR TE'!$N$49</f>
        <v>0</v>
      </c>
      <c r="O29" s="26">
        <f>'TR TE'!$O$29*'TR TE'!$O$49</f>
        <v>0</v>
      </c>
      <c r="P29" s="26">
        <f>'TR TE'!$P$29*'TR TE'!$P$49</f>
        <v>0</v>
      </c>
      <c r="Q29" s="26">
        <f>SUM($L$29:$P$29)</f>
        <v>0</v>
      </c>
      <c r="R29" s="26">
        <f>'TR TE'!$R$29*'TR TE'!$R$49</f>
        <v>118.75112758110555</v>
      </c>
      <c r="S29" s="26">
        <f>SUM($R$29:$R$29)</f>
        <v>118.75112758110555</v>
      </c>
      <c r="T29" s="26">
        <f>'TR TE'!$T$29*'TR TE'!$T$49</f>
        <v>0</v>
      </c>
      <c r="U29" s="26">
        <f>'TR TE'!$U$29*'TR TE'!$U$49</f>
        <v>0</v>
      </c>
      <c r="V29" s="26">
        <f>'TR TE'!$V$29*'TR TE'!$V$49</f>
        <v>0</v>
      </c>
      <c r="W29" s="26">
        <f>SUM($T$29:$V$29)</f>
        <v>0</v>
      </c>
      <c r="X29" s="26"/>
      <c r="Y29" s="26">
        <f>SUM($X$29:$X$29)</f>
        <v>0</v>
      </c>
      <c r="Z29" s="26">
        <f>'TR TE'!$Z$29*'TR TE'!$Z$49</f>
        <v>0</v>
      </c>
      <c r="AA29" s="26">
        <f>SUM($Z$29:$Z$29)</f>
        <v>0</v>
      </c>
      <c r="AB29" s="26">
        <f>SUMIF($L$4:$AA$4,"SUBTOTAL",$L$29:$AA$29)</f>
        <v>118.75112758110555</v>
      </c>
    </row>
    <row r="30" spans="1:28" ht="11.25" customHeight="1" x14ac:dyDescent="0.25">
      <c r="A30" s="113"/>
      <c r="B30" s="113"/>
      <c r="C30" s="113"/>
      <c r="D30" s="113"/>
      <c r="E30" s="113"/>
      <c r="F30" s="113"/>
      <c r="G30" s="29" t="s">
        <v>80</v>
      </c>
      <c r="H30" s="29" t="s">
        <v>66</v>
      </c>
      <c r="I30" s="29">
        <f>'MERCADO TE'!$U$27</f>
        <v>0</v>
      </c>
      <c r="J30" s="15"/>
      <c r="L30" s="26">
        <f>'TR TE'!$L$30*'TR TE'!$L$49</f>
        <v>0</v>
      </c>
      <c r="M30" s="26">
        <f>'TR TE'!$M$30*'TR TE'!$M$49</f>
        <v>0</v>
      </c>
      <c r="N30" s="26">
        <f>'TR TE'!$N$30*'TR TE'!$N$49</f>
        <v>0</v>
      </c>
      <c r="O30" s="26">
        <f>'TR TE'!$O$30*'TR TE'!$O$49</f>
        <v>0</v>
      </c>
      <c r="P30" s="26">
        <f>'TR TE'!$P$30*'TR TE'!$P$49</f>
        <v>0</v>
      </c>
      <c r="Q30" s="26">
        <f>SUM($L$30:$P$30)</f>
        <v>0</v>
      </c>
      <c r="R30" s="26">
        <f>'TR TE'!$R$30*'TR TE'!$R$49</f>
        <v>118.75112758110555</v>
      </c>
      <c r="S30" s="26">
        <f>SUM($R$30:$R$30)</f>
        <v>118.75112758110555</v>
      </c>
      <c r="T30" s="26">
        <f>'TR TE'!$T$30*'TR TE'!$T$49</f>
        <v>0</v>
      </c>
      <c r="U30" s="26">
        <f>'TR TE'!$U$30*'TR TE'!$U$49</f>
        <v>0</v>
      </c>
      <c r="V30" s="26">
        <f>'TR TE'!$V$30*'TR TE'!$V$49</f>
        <v>0</v>
      </c>
      <c r="W30" s="26">
        <f>SUM($T$30:$V$30)</f>
        <v>0</v>
      </c>
      <c r="X30" s="26"/>
      <c r="Y30" s="26">
        <f>SUM($X$30:$X$30)</f>
        <v>0</v>
      </c>
      <c r="Z30" s="26">
        <f>'TR TE'!$Z$30*'TR TE'!$Z$49</f>
        <v>0</v>
      </c>
      <c r="AA30" s="26">
        <f>SUM($Z$30:$Z$30)</f>
        <v>0</v>
      </c>
      <c r="AB30" s="26">
        <f>SUMIF($L$4:$AA$4,"SUBTOTAL",$L$30:$AA$30)</f>
        <v>118.75112758110555</v>
      </c>
    </row>
    <row r="31" spans="1:28" ht="11.25" customHeight="1" x14ac:dyDescent="0.25">
      <c r="A31" s="113"/>
      <c r="B31" s="113"/>
      <c r="C31" s="113"/>
      <c r="D31" s="113"/>
      <c r="E31" s="113"/>
      <c r="F31" s="113"/>
      <c r="G31" s="29" t="s">
        <v>68</v>
      </c>
      <c r="H31" s="29" t="s">
        <v>66</v>
      </c>
      <c r="I31" s="29">
        <f>'MERCADO TE'!$U$28</f>
        <v>0</v>
      </c>
      <c r="J31" s="15"/>
      <c r="L31" s="26">
        <f>'TR TE'!$L$31*'TR TE'!$L$49</f>
        <v>0</v>
      </c>
      <c r="M31" s="26">
        <f>'TR TE'!$M$31*'TR TE'!$M$49</f>
        <v>0</v>
      </c>
      <c r="N31" s="26">
        <f>'TR TE'!$N$31*'TR TE'!$N$49</f>
        <v>0</v>
      </c>
      <c r="O31" s="26">
        <f>'TR TE'!$O$31*'TR TE'!$O$49</f>
        <v>0</v>
      </c>
      <c r="P31" s="26">
        <f>'TR TE'!$P$31*'TR TE'!$P$49</f>
        <v>0</v>
      </c>
      <c r="Q31" s="26">
        <f>SUM($L$31:$P$31)</f>
        <v>0</v>
      </c>
      <c r="R31" s="26">
        <f>'TR TE'!$R$31*'TR TE'!$R$49</f>
        <v>118.75112758110555</v>
      </c>
      <c r="S31" s="26">
        <f>SUM($R$31:$R$31)</f>
        <v>118.75112758110555</v>
      </c>
      <c r="T31" s="26">
        <f>'TR TE'!$T$31*'TR TE'!$T$49</f>
        <v>0</v>
      </c>
      <c r="U31" s="26">
        <f>'TR TE'!$U$31*'TR TE'!$U$49</f>
        <v>0</v>
      </c>
      <c r="V31" s="26">
        <f>'TR TE'!$V$31*'TR TE'!$V$49</f>
        <v>0</v>
      </c>
      <c r="W31" s="26">
        <f>SUM($T$31:$V$31)</f>
        <v>0</v>
      </c>
      <c r="X31" s="26"/>
      <c r="Y31" s="26">
        <f>SUM($X$31:$X$31)</f>
        <v>0</v>
      </c>
      <c r="Z31" s="26">
        <f>'TR TE'!$Z$31*'TR TE'!$Z$49</f>
        <v>0</v>
      </c>
      <c r="AA31" s="26">
        <f>SUM($Z$31:$Z$31)</f>
        <v>0</v>
      </c>
      <c r="AB31" s="26">
        <f>SUMIF($L$4:$AA$4,"SUBTOTAL",$L$31:$AA$31)</f>
        <v>118.75112758110555</v>
      </c>
    </row>
    <row r="32" spans="1:28" ht="11.25" customHeight="1" x14ac:dyDescent="0.25">
      <c r="A32" s="113"/>
      <c r="B32" s="28" t="s">
        <v>69</v>
      </c>
      <c r="C32" s="28" t="s">
        <v>42</v>
      </c>
      <c r="D32" s="28" t="s">
        <v>84</v>
      </c>
      <c r="E32" s="28" t="s">
        <v>25</v>
      </c>
      <c r="F32" s="28" t="s">
        <v>25</v>
      </c>
      <c r="G32" s="29" t="s">
        <v>70</v>
      </c>
      <c r="H32" s="29" t="s">
        <v>66</v>
      </c>
      <c r="I32" s="29">
        <f>'MERCADO TE'!$U$29</f>
        <v>0</v>
      </c>
      <c r="J32" s="15"/>
      <c r="L32" s="26">
        <f>'TR TE'!$L$32*'TR TE'!$L$49</f>
        <v>0</v>
      </c>
      <c r="M32" s="26">
        <f>'TR TE'!$M$32*'TR TE'!$M$49</f>
        <v>0</v>
      </c>
      <c r="N32" s="26">
        <f>'TR TE'!$N$32*'TR TE'!$N$49</f>
        <v>0</v>
      </c>
      <c r="O32" s="26">
        <f>'TR TE'!$O$32*'TR TE'!$O$49</f>
        <v>0</v>
      </c>
      <c r="P32" s="26">
        <f>'TR TE'!$P$32*'TR TE'!$P$49</f>
        <v>0</v>
      </c>
      <c r="Q32" s="26">
        <f>SUM($L$32:$P$32)</f>
        <v>0</v>
      </c>
      <c r="R32" s="26">
        <f>'TR TE'!$R$32*'TR TE'!$R$49</f>
        <v>118.75112758110555</v>
      </c>
      <c r="S32" s="26">
        <f>SUM($R$32:$R$32)</f>
        <v>118.75112758110555</v>
      </c>
      <c r="T32" s="26">
        <f>'TR TE'!$T$32*'TR TE'!$T$49</f>
        <v>0</v>
      </c>
      <c r="U32" s="26">
        <f>'TR TE'!$U$32*'TR TE'!$U$49</f>
        <v>0</v>
      </c>
      <c r="V32" s="26">
        <f>'TR TE'!$V$32*'TR TE'!$V$49</f>
        <v>0</v>
      </c>
      <c r="W32" s="26">
        <f>SUM($T$32:$V$32)</f>
        <v>0</v>
      </c>
      <c r="X32" s="26"/>
      <c r="Y32" s="26">
        <f>SUM($X$32:$X$32)</f>
        <v>0</v>
      </c>
      <c r="Z32" s="26">
        <f>'TR TE'!$Z$32*'TR TE'!$Z$49</f>
        <v>0</v>
      </c>
      <c r="AA32" s="26">
        <f>SUM($Z$32:$Z$32)</f>
        <v>0</v>
      </c>
      <c r="AB32" s="26">
        <f>SUMIF($L$4:$AA$4,"SUBTOTAL",$L$32:$AA$32)</f>
        <v>118.75112758110555</v>
      </c>
    </row>
    <row r="33" spans="1:28" ht="11.25" customHeight="1" x14ac:dyDescent="0.25">
      <c r="A33" s="113"/>
      <c r="B33" s="113" t="s">
        <v>81</v>
      </c>
      <c r="C33" s="113" t="s">
        <v>42</v>
      </c>
      <c r="D33" s="28" t="s">
        <v>25</v>
      </c>
      <c r="E33" s="28" t="s">
        <v>25</v>
      </c>
      <c r="F33" s="28" t="s">
        <v>25</v>
      </c>
      <c r="G33" s="29" t="s">
        <v>70</v>
      </c>
      <c r="H33" s="29" t="s">
        <v>66</v>
      </c>
      <c r="I33" s="29">
        <f>'MERCADO TE'!$U$30</f>
        <v>0</v>
      </c>
      <c r="J33" s="15"/>
      <c r="L33" s="26">
        <f>'TR TE'!$L$33*'TR TE'!$L$49</f>
        <v>0</v>
      </c>
      <c r="M33" s="26">
        <f>'TR TE'!$M$33*'TR TE'!$M$49</f>
        <v>0</v>
      </c>
      <c r="N33" s="26">
        <f>'TR TE'!$N$33*'TR TE'!$N$49</f>
        <v>0</v>
      </c>
      <c r="O33" s="26">
        <f>'TR TE'!$O$33*'TR TE'!$O$49</f>
        <v>0</v>
      </c>
      <c r="P33" s="26">
        <f>'TR TE'!$P$33*'TR TE'!$P$49</f>
        <v>0</v>
      </c>
      <c r="Q33" s="26">
        <f>SUM($L$33:$P$33)</f>
        <v>0</v>
      </c>
      <c r="R33" s="26">
        <f>'TR TE'!$R$33*'TR TE'!$R$49</f>
        <v>118.75112758110555</v>
      </c>
      <c r="S33" s="26">
        <f>SUM($R$33:$R$33)</f>
        <v>118.75112758110555</v>
      </c>
      <c r="T33" s="26">
        <f>'TR TE'!$T$33*'TR TE'!$T$49</f>
        <v>0</v>
      </c>
      <c r="U33" s="26">
        <f>'TR TE'!$U$33*'TR TE'!$U$49</f>
        <v>0</v>
      </c>
      <c r="V33" s="26">
        <f>'TR TE'!$V$33*'TR TE'!$V$49</f>
        <v>0</v>
      </c>
      <c r="W33" s="26">
        <f>SUM($T$33:$V$33)</f>
        <v>0</v>
      </c>
      <c r="X33" s="26"/>
      <c r="Y33" s="26">
        <f>SUM($X$33:$X$33)</f>
        <v>0</v>
      </c>
      <c r="Z33" s="26">
        <f>'TR TE'!$Z$33*'TR TE'!$Z$49</f>
        <v>0</v>
      </c>
      <c r="AA33" s="26">
        <f>SUM($Z$33:$Z$33)</f>
        <v>0</v>
      </c>
      <c r="AB33" s="26">
        <f>SUMIF($L$4:$AA$4,"SUBTOTAL",$L$33:$AA$33)</f>
        <v>118.75112758110555</v>
      </c>
    </row>
    <row r="34" spans="1:28" ht="11.25" customHeight="1" x14ac:dyDescent="0.25">
      <c r="A34" s="113"/>
      <c r="B34" s="113"/>
      <c r="C34" s="113"/>
      <c r="D34" s="28" t="s">
        <v>83</v>
      </c>
      <c r="E34" s="28" t="s">
        <v>25</v>
      </c>
      <c r="F34" s="28" t="s">
        <v>25</v>
      </c>
      <c r="G34" s="29" t="s">
        <v>70</v>
      </c>
      <c r="H34" s="29" t="s">
        <v>66</v>
      </c>
      <c r="I34" s="29">
        <f>'MERCADO TE'!$U$31</f>
        <v>0</v>
      </c>
      <c r="J34" s="15"/>
      <c r="L34" s="26">
        <f>'TR TE'!$L$34*'TR TE'!$L$49</f>
        <v>0</v>
      </c>
      <c r="M34" s="26">
        <f>'TR TE'!$M$34*'TR TE'!$M$49</f>
        <v>0</v>
      </c>
      <c r="N34" s="26">
        <f>'TR TE'!$N$34*'TR TE'!$N$49</f>
        <v>0</v>
      </c>
      <c r="O34" s="26">
        <f>'TR TE'!$O$34*'TR TE'!$O$49</f>
        <v>0</v>
      </c>
      <c r="P34" s="26">
        <f>'TR TE'!$P$34*'TR TE'!$P$49</f>
        <v>0</v>
      </c>
      <c r="Q34" s="26">
        <f>SUM($L$34:$P$34)</f>
        <v>0</v>
      </c>
      <c r="R34" s="26">
        <f>'TR TE'!$R$34*'TR TE'!$R$49</f>
        <v>118.75112758110555</v>
      </c>
      <c r="S34" s="26">
        <f>SUM($R$34:$R$34)</f>
        <v>118.75112758110555</v>
      </c>
      <c r="T34" s="26">
        <f>'TR TE'!$T$34*'TR TE'!$T$49</f>
        <v>0</v>
      </c>
      <c r="U34" s="26">
        <f>'TR TE'!$U$34*'TR TE'!$U$49</f>
        <v>0</v>
      </c>
      <c r="V34" s="26">
        <f>'TR TE'!$V$34*'TR TE'!$V$49</f>
        <v>0</v>
      </c>
      <c r="W34" s="26">
        <f>SUM($T$34:$V$34)</f>
        <v>0</v>
      </c>
      <c r="X34" s="26"/>
      <c r="Y34" s="26">
        <f>SUM($X$34:$X$34)</f>
        <v>0</v>
      </c>
      <c r="Z34" s="26">
        <f>'TR TE'!$Z$34*'TR TE'!$Z$49</f>
        <v>0</v>
      </c>
      <c r="AA34" s="26">
        <f>SUM($Z$34:$Z$34)</f>
        <v>0</v>
      </c>
      <c r="AB34" s="26">
        <f>SUMIF($L$4:$AA$4,"SUBTOTAL",$L$34:$AA$34)</f>
        <v>118.75112758110555</v>
      </c>
    </row>
    <row r="35" spans="1:28" ht="11.25" customHeight="1" x14ac:dyDescent="0.25">
      <c r="A35" s="113"/>
      <c r="B35" s="113"/>
      <c r="C35" s="113"/>
      <c r="D35" s="28" t="s">
        <v>84</v>
      </c>
      <c r="E35" s="28" t="s">
        <v>25</v>
      </c>
      <c r="F35" s="28" t="s">
        <v>25</v>
      </c>
      <c r="G35" s="29" t="s">
        <v>70</v>
      </c>
      <c r="H35" s="29" t="s">
        <v>66</v>
      </c>
      <c r="I35" s="29">
        <f>'MERCADO TE'!$U$32</f>
        <v>0</v>
      </c>
      <c r="J35" s="15"/>
      <c r="L35" s="26">
        <f>'TR TE'!$L$35*'TR TE'!$L$49</f>
        <v>0</v>
      </c>
      <c r="M35" s="26">
        <f>'TR TE'!$M$35*'TR TE'!$M$49</f>
        <v>0</v>
      </c>
      <c r="N35" s="26">
        <f>'TR TE'!$N$35*'TR TE'!$N$49</f>
        <v>0</v>
      </c>
      <c r="O35" s="26">
        <f>'TR TE'!$O$35*'TR TE'!$O$49</f>
        <v>0</v>
      </c>
      <c r="P35" s="26">
        <f>'TR TE'!$P$35*'TR TE'!$P$49</f>
        <v>0</v>
      </c>
      <c r="Q35" s="26">
        <f>SUM($L$35:$P$35)</f>
        <v>0</v>
      </c>
      <c r="R35" s="26">
        <f>'TR TE'!$R$35*'TR TE'!$R$49</f>
        <v>118.75112758110555</v>
      </c>
      <c r="S35" s="26">
        <f>SUM($R$35:$R$35)</f>
        <v>118.75112758110555</v>
      </c>
      <c r="T35" s="26">
        <f>'TR TE'!$T$35*'TR TE'!$T$49</f>
        <v>0</v>
      </c>
      <c r="U35" s="26">
        <f>'TR TE'!$U$35*'TR TE'!$U$49</f>
        <v>0</v>
      </c>
      <c r="V35" s="26">
        <f>'TR TE'!$V$35*'TR TE'!$V$49</f>
        <v>0</v>
      </c>
      <c r="W35" s="26">
        <f>SUM($T$35:$V$35)</f>
        <v>0</v>
      </c>
      <c r="X35" s="26"/>
      <c r="Y35" s="26">
        <f>SUM($X$35:$X$35)</f>
        <v>0</v>
      </c>
      <c r="Z35" s="26">
        <f>'TR TE'!$Z$35*'TR TE'!$Z$49</f>
        <v>0</v>
      </c>
      <c r="AA35" s="26">
        <f>SUM($Z$35:$Z$35)</f>
        <v>0</v>
      </c>
      <c r="AB35" s="26">
        <f>SUMIF($L$4:$AA$4,"SUBTOTAL",$L$35:$AA$35)</f>
        <v>118.75112758110555</v>
      </c>
    </row>
    <row r="36" spans="1:28" ht="11.25" customHeight="1" x14ac:dyDescent="0.25">
      <c r="A36" s="113" t="s">
        <v>37</v>
      </c>
      <c r="B36" s="113" t="s">
        <v>65</v>
      </c>
      <c r="C36" s="113" t="s">
        <v>25</v>
      </c>
      <c r="D36" s="113" t="s">
        <v>25</v>
      </c>
      <c r="E36" s="113" t="s">
        <v>25</v>
      </c>
      <c r="F36" s="113" t="s">
        <v>25</v>
      </c>
      <c r="G36" s="29" t="s">
        <v>67</v>
      </c>
      <c r="H36" s="29" t="s">
        <v>66</v>
      </c>
      <c r="I36" s="29">
        <f>'MERCADO TE'!$U$33</f>
        <v>0</v>
      </c>
      <c r="J36" s="15"/>
      <c r="L36" s="26">
        <f>'TR TE'!$L$36*'TR TE'!$L$49</f>
        <v>0</v>
      </c>
      <c r="M36" s="26">
        <f>'TR TE'!$M$36*'TR TE'!$M$49</f>
        <v>0</v>
      </c>
      <c r="N36" s="26">
        <f>'TR TE'!$N$36*'TR TE'!$N$49</f>
        <v>0</v>
      </c>
      <c r="O36" s="26">
        <f>'TR TE'!$O$36*'TR TE'!$O$49</f>
        <v>0</v>
      </c>
      <c r="P36" s="26">
        <f>'TR TE'!$P$36*'TR TE'!$P$49</f>
        <v>0</v>
      </c>
      <c r="Q36" s="26">
        <f>SUM($L$36:$P$36)</f>
        <v>0</v>
      </c>
      <c r="R36" s="26">
        <f>'TR TE'!$R$36*'TR TE'!$R$49</f>
        <v>118.75112758110555</v>
      </c>
      <c r="S36" s="26">
        <f>SUM($R$36:$R$36)</f>
        <v>118.75112758110555</v>
      </c>
      <c r="T36" s="26">
        <f>'TR TE'!$T$36*'TR TE'!$T$49</f>
        <v>0</v>
      </c>
      <c r="U36" s="26">
        <f>'TR TE'!$U$36*'TR TE'!$U$49</f>
        <v>0</v>
      </c>
      <c r="V36" s="26">
        <f>'TR TE'!$V$36*'TR TE'!$V$49</f>
        <v>0</v>
      </c>
      <c r="W36" s="26">
        <f>SUM($T$36:$V$36)</f>
        <v>0</v>
      </c>
      <c r="X36" s="26"/>
      <c r="Y36" s="26">
        <f>SUM($X$36:$X$36)</f>
        <v>0</v>
      </c>
      <c r="Z36" s="26">
        <f>'TR TE'!$Z$36*'TR TE'!$Z$49</f>
        <v>0</v>
      </c>
      <c r="AA36" s="26">
        <f>SUM($Z$36:$Z$36)</f>
        <v>0</v>
      </c>
      <c r="AB36" s="26">
        <f>SUMIF($L$4:$AA$4,"SUBTOTAL",$L$36:$AA$36)</f>
        <v>118.75112758110555</v>
      </c>
    </row>
    <row r="37" spans="1:28" ht="11.25" customHeight="1" x14ac:dyDescent="0.25">
      <c r="A37" s="113"/>
      <c r="B37" s="113"/>
      <c r="C37" s="113"/>
      <c r="D37" s="113"/>
      <c r="E37" s="113"/>
      <c r="F37" s="113"/>
      <c r="G37" s="29" t="s">
        <v>80</v>
      </c>
      <c r="H37" s="29" t="s">
        <v>66</v>
      </c>
      <c r="I37" s="29">
        <f>'MERCADO TE'!$U$34</f>
        <v>0</v>
      </c>
      <c r="J37" s="15"/>
      <c r="L37" s="26">
        <f>'TR TE'!$L$37*'TR TE'!$L$49</f>
        <v>0</v>
      </c>
      <c r="M37" s="26">
        <f>'TR TE'!$M$37*'TR TE'!$M$49</f>
        <v>0</v>
      </c>
      <c r="N37" s="26">
        <f>'TR TE'!$N$37*'TR TE'!$N$49</f>
        <v>0</v>
      </c>
      <c r="O37" s="26">
        <f>'TR TE'!$O$37*'TR TE'!$O$49</f>
        <v>0</v>
      </c>
      <c r="P37" s="26">
        <f>'TR TE'!$P$37*'TR TE'!$P$49</f>
        <v>0</v>
      </c>
      <c r="Q37" s="26">
        <f>SUM($L$37:$P$37)</f>
        <v>0</v>
      </c>
      <c r="R37" s="26">
        <f>'TR TE'!$R$37*'TR TE'!$R$49</f>
        <v>118.75112758110555</v>
      </c>
      <c r="S37" s="26">
        <f>SUM($R$37:$R$37)</f>
        <v>118.75112758110555</v>
      </c>
      <c r="T37" s="26">
        <f>'TR TE'!$T$37*'TR TE'!$T$49</f>
        <v>0</v>
      </c>
      <c r="U37" s="26">
        <f>'TR TE'!$U$37*'TR TE'!$U$49</f>
        <v>0</v>
      </c>
      <c r="V37" s="26">
        <f>'TR TE'!$V$37*'TR TE'!$V$49</f>
        <v>0</v>
      </c>
      <c r="W37" s="26">
        <f>SUM($T$37:$V$37)</f>
        <v>0</v>
      </c>
      <c r="X37" s="26"/>
      <c r="Y37" s="26">
        <f>SUM($X$37:$X$37)</f>
        <v>0</v>
      </c>
      <c r="Z37" s="26">
        <f>'TR TE'!$Z$37*'TR TE'!$Z$49</f>
        <v>0</v>
      </c>
      <c r="AA37" s="26">
        <f>SUM($Z$37:$Z$37)</f>
        <v>0</v>
      </c>
      <c r="AB37" s="26">
        <f>SUMIF($L$4:$AA$4,"SUBTOTAL",$L$37:$AA$37)</f>
        <v>118.75112758110555</v>
      </c>
    </row>
    <row r="38" spans="1:28" ht="11.25" customHeight="1" x14ac:dyDescent="0.25">
      <c r="A38" s="113"/>
      <c r="B38" s="113"/>
      <c r="C38" s="113"/>
      <c r="D38" s="113"/>
      <c r="E38" s="113"/>
      <c r="F38" s="113"/>
      <c r="G38" s="29" t="s">
        <v>68</v>
      </c>
      <c r="H38" s="29" t="s">
        <v>66</v>
      </c>
      <c r="I38" s="29">
        <f>'MERCADO TE'!$U$35</f>
        <v>0</v>
      </c>
      <c r="J38" s="15"/>
      <c r="L38" s="26">
        <f>'TR TE'!$L$38*'TR TE'!$L$49</f>
        <v>0</v>
      </c>
      <c r="M38" s="26">
        <f>'TR TE'!$M$38*'TR TE'!$M$49</f>
        <v>0</v>
      </c>
      <c r="N38" s="26">
        <f>'TR TE'!$N$38*'TR TE'!$N$49</f>
        <v>0</v>
      </c>
      <c r="O38" s="26">
        <f>'TR TE'!$O$38*'TR TE'!$O$49</f>
        <v>0</v>
      </c>
      <c r="P38" s="26">
        <f>'TR TE'!$P$38*'TR TE'!$P$49</f>
        <v>0</v>
      </c>
      <c r="Q38" s="26">
        <f>SUM($L$38:$P$38)</f>
        <v>0</v>
      </c>
      <c r="R38" s="26">
        <f>'TR TE'!$R$38*'TR TE'!$R$49</f>
        <v>118.75112758110555</v>
      </c>
      <c r="S38" s="26">
        <f>SUM($R$38:$R$38)</f>
        <v>118.75112758110555</v>
      </c>
      <c r="T38" s="26">
        <f>'TR TE'!$T$38*'TR TE'!$T$49</f>
        <v>0</v>
      </c>
      <c r="U38" s="26">
        <f>'TR TE'!$U$38*'TR TE'!$U$49</f>
        <v>0</v>
      </c>
      <c r="V38" s="26">
        <f>'TR TE'!$V$38*'TR TE'!$V$49</f>
        <v>0</v>
      </c>
      <c r="W38" s="26">
        <f>SUM($T$38:$V$38)</f>
        <v>0</v>
      </c>
      <c r="X38" s="26"/>
      <c r="Y38" s="26">
        <f>SUM($X$38:$X$38)</f>
        <v>0</v>
      </c>
      <c r="Z38" s="26">
        <f>'TR TE'!$Z$38*'TR TE'!$Z$49</f>
        <v>0</v>
      </c>
      <c r="AA38" s="26">
        <f>SUM($Z$38:$Z$38)</f>
        <v>0</v>
      </c>
      <c r="AB38" s="26">
        <f>SUMIF($L$4:$AA$4,"SUBTOTAL",$L$38:$AA$38)</f>
        <v>118.75112758110555</v>
      </c>
    </row>
    <row r="39" spans="1:28" ht="11.25" customHeight="1" x14ac:dyDescent="0.25">
      <c r="A39" s="113"/>
      <c r="B39" s="28" t="s">
        <v>69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66</v>
      </c>
      <c r="I39" s="29">
        <f>'MERCADO TE'!$U$36</f>
        <v>1464.15</v>
      </c>
      <c r="J39" s="15"/>
      <c r="L39" s="26">
        <f>'TR TE'!$L$39*'TR TE'!$L$49</f>
        <v>0</v>
      </c>
      <c r="M39" s="26">
        <f>'TR TE'!$M$39*'TR TE'!$M$49</f>
        <v>0</v>
      </c>
      <c r="N39" s="26">
        <f>'TR TE'!$N$39*'TR TE'!$N$49</f>
        <v>0</v>
      </c>
      <c r="O39" s="26">
        <f>'TR TE'!$O$39*'TR TE'!$O$49</f>
        <v>0</v>
      </c>
      <c r="P39" s="26">
        <f>'TR TE'!$P$39*'TR TE'!$P$49</f>
        <v>0</v>
      </c>
      <c r="Q39" s="26">
        <f>SUM($L$39:$P$39)</f>
        <v>0</v>
      </c>
      <c r="R39" s="26">
        <f>'TR TE'!$R$39*'TR TE'!$R$49</f>
        <v>118.75112758110555</v>
      </c>
      <c r="S39" s="26">
        <f>SUM($R$39:$R$39)</f>
        <v>118.75112758110555</v>
      </c>
      <c r="T39" s="26">
        <f>'TR TE'!$T$39*'TR TE'!$T$49</f>
        <v>0</v>
      </c>
      <c r="U39" s="26">
        <f>'TR TE'!$U$39*'TR TE'!$U$49</f>
        <v>0</v>
      </c>
      <c r="V39" s="26">
        <f>'TR TE'!$V$39*'TR TE'!$V$49</f>
        <v>0</v>
      </c>
      <c r="W39" s="26">
        <f>SUM($T$39:$V$39)</f>
        <v>0</v>
      </c>
      <c r="X39" s="26"/>
      <c r="Y39" s="26">
        <f>SUM($X$39:$X$39)</f>
        <v>0</v>
      </c>
      <c r="Z39" s="26">
        <f>'TR TE'!$Z$39*'TR TE'!$Z$49</f>
        <v>0</v>
      </c>
      <c r="AA39" s="26">
        <f>SUM($Z$39:$Z$39)</f>
        <v>0</v>
      </c>
      <c r="AB39" s="26">
        <f>SUMIF($L$4:$AA$4,"SUBTOTAL",$L$39:$AA$39)</f>
        <v>118.75112758110555</v>
      </c>
    </row>
    <row r="40" spans="1:28" ht="11.25" customHeight="1" x14ac:dyDescent="0.25">
      <c r="A40" s="113"/>
      <c r="B40" s="28" t="s">
        <v>81</v>
      </c>
      <c r="C40" s="28" t="s">
        <v>25</v>
      </c>
      <c r="D40" s="28" t="s">
        <v>25</v>
      </c>
      <c r="E40" s="28" t="s">
        <v>25</v>
      </c>
      <c r="F40" s="28" t="s">
        <v>25</v>
      </c>
      <c r="G40" s="29" t="s">
        <v>70</v>
      </c>
      <c r="H40" s="29" t="s">
        <v>66</v>
      </c>
      <c r="I40" s="29">
        <f>'MERCADO TE'!$U$37</f>
        <v>0</v>
      </c>
      <c r="J40" s="15"/>
      <c r="L40" s="26">
        <f>'TR TE'!$L$40*'TR TE'!$L$49</f>
        <v>0</v>
      </c>
      <c r="M40" s="26">
        <f>'TR TE'!$M$40*'TR TE'!$M$49</f>
        <v>0</v>
      </c>
      <c r="N40" s="26">
        <f>'TR TE'!$N$40*'TR TE'!$N$49</f>
        <v>0</v>
      </c>
      <c r="O40" s="26">
        <f>'TR TE'!$O$40*'TR TE'!$O$49</f>
        <v>0</v>
      </c>
      <c r="P40" s="26">
        <f>'TR TE'!$P$40*'TR TE'!$P$49</f>
        <v>0</v>
      </c>
      <c r="Q40" s="26">
        <f>SUM($L$40:$P$40)</f>
        <v>0</v>
      </c>
      <c r="R40" s="26">
        <f>'TR TE'!$R$40*'TR TE'!$R$49</f>
        <v>118.75112758110555</v>
      </c>
      <c r="S40" s="26">
        <f>SUM($R$40:$R$40)</f>
        <v>118.75112758110555</v>
      </c>
      <c r="T40" s="26">
        <f>'TR TE'!$T$40*'TR TE'!$T$49</f>
        <v>0</v>
      </c>
      <c r="U40" s="26">
        <f>'TR TE'!$U$40*'TR TE'!$U$49</f>
        <v>0</v>
      </c>
      <c r="V40" s="26">
        <f>'TR TE'!$V$40*'TR TE'!$V$49</f>
        <v>0</v>
      </c>
      <c r="W40" s="26">
        <f>SUM($T$40:$V$40)</f>
        <v>0</v>
      </c>
      <c r="X40" s="26"/>
      <c r="Y40" s="26">
        <f>SUM($X$40:$X$40)</f>
        <v>0</v>
      </c>
      <c r="Z40" s="26">
        <f>'TR TE'!$Z$40*'TR TE'!$Z$49</f>
        <v>0</v>
      </c>
      <c r="AA40" s="26">
        <f>SUM($Z$40:$Z$40)</f>
        <v>0</v>
      </c>
      <c r="AB40" s="26">
        <f>SUMIF($L$4:$AA$4,"SUBTOTAL",$L$40:$AA$40)</f>
        <v>118.75112758110555</v>
      </c>
    </row>
    <row r="41" spans="1:28" ht="11.25" customHeight="1" x14ac:dyDescent="0.25">
      <c r="A41" s="113" t="s">
        <v>44</v>
      </c>
      <c r="B41" s="113" t="s">
        <v>69</v>
      </c>
      <c r="C41" s="113" t="s">
        <v>45</v>
      </c>
      <c r="D41" s="28" t="s">
        <v>46</v>
      </c>
      <c r="E41" s="28" t="s">
        <v>25</v>
      </c>
      <c r="F41" s="28" t="s">
        <v>25</v>
      </c>
      <c r="G41" s="29" t="s">
        <v>70</v>
      </c>
      <c r="H41" s="29" t="s">
        <v>66</v>
      </c>
      <c r="I41" s="29">
        <f>'MERCADO TE'!$U$38</f>
        <v>491.28100000000001</v>
      </c>
      <c r="J41" s="15"/>
      <c r="L41" s="26">
        <f>'TR TE'!$L$41*'TR TE'!$L$49</f>
        <v>0</v>
      </c>
      <c r="M41" s="26">
        <f>'TR TE'!$M$41*'TR TE'!$M$49</f>
        <v>0</v>
      </c>
      <c r="N41" s="26">
        <f>'TR TE'!$N$41*'TR TE'!$N$49</f>
        <v>0</v>
      </c>
      <c r="O41" s="26">
        <f>'TR TE'!$O$41*'TR TE'!$O$49</f>
        <v>0</v>
      </c>
      <c r="P41" s="26">
        <f>'TR TE'!$P$41*'TR TE'!$P$49</f>
        <v>0</v>
      </c>
      <c r="Q41" s="26">
        <f>SUM($L$41:$P$41)</f>
        <v>0</v>
      </c>
      <c r="R41" s="26">
        <f>'TR TE'!$R$41*'TR TE'!$R$49</f>
        <v>65.313120169608055</v>
      </c>
      <c r="S41" s="26">
        <f>SUM($R$41:$R$41)</f>
        <v>65.313120169608055</v>
      </c>
      <c r="T41" s="26">
        <f>'TR TE'!$T$41*'TR TE'!$T$49</f>
        <v>0</v>
      </c>
      <c r="U41" s="26">
        <f>'TR TE'!$U$41*'TR TE'!$U$49</f>
        <v>0</v>
      </c>
      <c r="V41" s="26">
        <f>'TR TE'!$V$41*'TR TE'!$V$49</f>
        <v>0</v>
      </c>
      <c r="W41" s="26">
        <f>SUM($T$41:$V$41)</f>
        <v>0</v>
      </c>
      <c r="X41" s="26"/>
      <c r="Y41" s="26">
        <f>SUM($X$41:$X$41)</f>
        <v>0</v>
      </c>
      <c r="Z41" s="26">
        <f>'TR TE'!$Z$41*'TR TE'!$Z$49</f>
        <v>0</v>
      </c>
      <c r="AA41" s="26">
        <f>SUM($Z$41:$Z$41)</f>
        <v>0</v>
      </c>
      <c r="AB41" s="26">
        <f>SUMIF($L$4:$AA$4,"SUBTOTAL",$L$41:$AA$41)</f>
        <v>65.313120169608055</v>
      </c>
    </row>
    <row r="42" spans="1:28" ht="11.25" customHeight="1" x14ac:dyDescent="0.25">
      <c r="A42" s="113"/>
      <c r="B42" s="113"/>
      <c r="C42" s="113"/>
      <c r="D42" s="29" t="s">
        <v>85</v>
      </c>
      <c r="E42" s="29" t="s">
        <v>25</v>
      </c>
      <c r="F42" s="29" t="s">
        <v>25</v>
      </c>
      <c r="G42" s="29" t="s">
        <v>70</v>
      </c>
      <c r="H42" s="29" t="s">
        <v>66</v>
      </c>
      <c r="I42" s="29">
        <f>'MERCADO TE'!$U$39</f>
        <v>0</v>
      </c>
      <c r="J42" s="15"/>
      <c r="L42" s="26">
        <f>'TR TE'!$L$42*'TR TE'!$L$49</f>
        <v>0</v>
      </c>
      <c r="M42" s="26">
        <f>'TR TE'!$M$42*'TR TE'!$M$49</f>
        <v>0</v>
      </c>
      <c r="N42" s="26">
        <f>'TR TE'!$N$42*'TR TE'!$N$49</f>
        <v>0</v>
      </c>
      <c r="O42" s="26">
        <f>'TR TE'!$O$42*'TR TE'!$O$49</f>
        <v>0</v>
      </c>
      <c r="P42" s="26">
        <f>'TR TE'!$P$42*'TR TE'!$P$49</f>
        <v>0</v>
      </c>
      <c r="Q42" s="26">
        <f>SUM($L$42:$P$42)</f>
        <v>0</v>
      </c>
      <c r="R42" s="26">
        <f>'TR TE'!$R$42*'TR TE'!$R$49</f>
        <v>71.250676548663321</v>
      </c>
      <c r="S42" s="26">
        <f>SUM($R$42:$R$42)</f>
        <v>71.250676548663321</v>
      </c>
      <c r="T42" s="26">
        <f>'TR TE'!$T$42*'TR TE'!$T$49</f>
        <v>0</v>
      </c>
      <c r="U42" s="26">
        <f>'TR TE'!$U$42*'TR TE'!$U$49</f>
        <v>0</v>
      </c>
      <c r="V42" s="26">
        <f>'TR TE'!$V$42*'TR TE'!$V$49</f>
        <v>0</v>
      </c>
      <c r="W42" s="26">
        <f>SUM($T$42:$V$42)</f>
        <v>0</v>
      </c>
      <c r="X42" s="26"/>
      <c r="Y42" s="26">
        <f>SUM($X$42:$X$42)</f>
        <v>0</v>
      </c>
      <c r="Z42" s="26">
        <f>'TR TE'!$Z$42*'TR TE'!$Z$49</f>
        <v>0</v>
      </c>
      <c r="AA42" s="26">
        <f>SUM($Z$42:$Z$42)</f>
        <v>0</v>
      </c>
      <c r="AB42" s="26">
        <f>SUMIF($L$4:$AA$4,"SUBTOTAL",$L$42:$AA$42)</f>
        <v>71.250676548663321</v>
      </c>
    </row>
    <row r="44" spans="1:28" ht="11.25" customHeight="1" x14ac:dyDescent="0.25">
      <c r="K44" s="31" t="s">
        <v>522</v>
      </c>
      <c r="L44" s="26">
        <f t="shared" ref="L44:AB44" si="0">SUMPRODUCT($I$5:$I$42,L$5:L$42)</f>
        <v>0</v>
      </c>
      <c r="M44" s="26">
        <f t="shared" si="0"/>
        <v>0</v>
      </c>
      <c r="N44" s="26">
        <f t="shared" si="0"/>
        <v>0</v>
      </c>
      <c r="O44" s="26">
        <f t="shared" si="0"/>
        <v>0</v>
      </c>
      <c r="P44" s="26">
        <f t="shared" si="0"/>
        <v>0</v>
      </c>
      <c r="Q44" s="26">
        <f t="shared" si="0"/>
        <v>0</v>
      </c>
      <c r="R44" s="26">
        <f t="shared" si="0"/>
        <v>1918542.2137533138</v>
      </c>
      <c r="S44" s="26">
        <f t="shared" si="0"/>
        <v>1918542.2137533138</v>
      </c>
      <c r="T44" s="26">
        <f t="shared" si="0"/>
        <v>0</v>
      </c>
      <c r="U44" s="26">
        <f t="shared" si="0"/>
        <v>0</v>
      </c>
      <c r="V44" s="26">
        <f t="shared" si="0"/>
        <v>0</v>
      </c>
      <c r="W44" s="26">
        <f t="shared" si="0"/>
        <v>0</v>
      </c>
      <c r="X44" s="26">
        <f t="shared" si="0"/>
        <v>0</v>
      </c>
      <c r="Y44" s="26">
        <f t="shared" si="0"/>
        <v>0</v>
      </c>
      <c r="Z44" s="26">
        <f t="shared" si="0"/>
        <v>0</v>
      </c>
      <c r="AA44" s="26">
        <f t="shared" si="0"/>
        <v>0</v>
      </c>
      <c r="AB44" s="26">
        <f t="shared" si="0"/>
        <v>1918542.2137533138</v>
      </c>
    </row>
    <row r="45" spans="1:28" ht="11.25" customHeight="1" x14ac:dyDescent="0.25">
      <c r="K45" s="31" t="s">
        <v>441</v>
      </c>
      <c r="L45" s="26">
        <f>CUSTOS!$D$30</f>
        <v>0</v>
      </c>
      <c r="M45" s="26">
        <f>CUSTOS!$D$31</f>
        <v>0</v>
      </c>
      <c r="N45" s="26">
        <f>CUSTOS!$D$32</f>
        <v>0</v>
      </c>
      <c r="O45" s="26">
        <f>CUSTOS!$D$33</f>
        <v>0</v>
      </c>
      <c r="P45" s="26">
        <f>CUSTOS!$D$34</f>
        <v>0</v>
      </c>
      <c r="Q45" s="26">
        <f>CUSTOS!$D$35</f>
        <v>0</v>
      </c>
      <c r="R45" s="26">
        <f>CUSTOS!$D$36</f>
        <v>1918542.2137533133</v>
      </c>
      <c r="S45" s="26">
        <f>CUSTOS!$D$37</f>
        <v>1918542.2137533133</v>
      </c>
      <c r="T45" s="26">
        <f>CUSTOS!$D$38</f>
        <v>0</v>
      </c>
      <c r="U45" s="26">
        <f>CUSTOS!$D$39</f>
        <v>0</v>
      </c>
      <c r="V45" s="26">
        <f>CUSTOS!$D$40</f>
        <v>0</v>
      </c>
      <c r="W45" s="26">
        <f>CUSTOS!$D$41</f>
        <v>0</v>
      </c>
      <c r="X45" s="26">
        <f>CUSTOS!$D$42</f>
        <v>0</v>
      </c>
      <c r="Y45" s="26">
        <f>CUSTOS!$D$43</f>
        <v>0</v>
      </c>
      <c r="Z45" s="26">
        <f>CUSTOS!$D$44</f>
        <v>0</v>
      </c>
      <c r="AA45" s="26">
        <f>CUSTOS!$D$45</f>
        <v>0</v>
      </c>
      <c r="AB45" s="26">
        <f>CUSTOS!$D$46</f>
        <v>1918542.2137533133</v>
      </c>
    </row>
    <row r="46" spans="1:28" ht="11.25" customHeight="1" x14ac:dyDescent="0.25">
      <c r="K46" s="31" t="s">
        <v>442</v>
      </c>
      <c r="L46" s="26">
        <f>CUSTOS!$E$30</f>
        <v>0</v>
      </c>
      <c r="M46" s="26">
        <f>CUSTOS!$E$31</f>
        <v>0</v>
      </c>
      <c r="N46" s="26">
        <f>CUSTOS!$E$32</f>
        <v>0</v>
      </c>
      <c r="O46" s="26">
        <f>CUSTOS!$E$33</f>
        <v>0</v>
      </c>
      <c r="P46" s="26">
        <f>CUSTOS!$E$34</f>
        <v>0</v>
      </c>
      <c r="Q46" s="26">
        <f>CUSTOS!$E$35</f>
        <v>0</v>
      </c>
      <c r="R46" s="26">
        <f>CUSTOS!$E$36</f>
        <v>-10094.838415035665</v>
      </c>
      <c r="S46" s="26">
        <f>CUSTOS!$E$37</f>
        <v>-10094.838415035665</v>
      </c>
      <c r="T46" s="26">
        <f>CUSTOS!$E$38</f>
        <v>0</v>
      </c>
      <c r="U46" s="26">
        <f>CUSTOS!$E$39</f>
        <v>0</v>
      </c>
      <c r="V46" s="26">
        <f>CUSTOS!$E$40</f>
        <v>0</v>
      </c>
      <c r="W46" s="26">
        <f>CUSTOS!$E$41</f>
        <v>0</v>
      </c>
      <c r="X46" s="26">
        <f>CUSTOS!$E$42</f>
        <v>-27429.875191861989</v>
      </c>
      <c r="Y46" s="26">
        <f>CUSTOS!$E$43</f>
        <v>-27429.875191861989</v>
      </c>
      <c r="Z46" s="26">
        <f>CUSTOS!$E$44</f>
        <v>0</v>
      </c>
      <c r="AA46" s="26">
        <f>CUSTOS!$E$45</f>
        <v>0</v>
      </c>
      <c r="AB46" s="26">
        <f>CUSTOS!$E$46</f>
        <v>-37524.713606897654</v>
      </c>
    </row>
    <row r="47" spans="1:28" ht="11.25" customHeight="1" x14ac:dyDescent="0.25">
      <c r="K47" s="31" t="s">
        <v>443</v>
      </c>
      <c r="L47" s="26">
        <f>CUSTOS!$F$30</f>
        <v>0</v>
      </c>
      <c r="M47" s="26">
        <f>CUSTOS!$F$31</f>
        <v>0</v>
      </c>
      <c r="N47" s="26">
        <f>CUSTOS!$F$32</f>
        <v>0</v>
      </c>
      <c r="O47" s="26">
        <f>CUSTOS!$F$33</f>
        <v>0</v>
      </c>
      <c r="P47" s="26">
        <f>CUSTOS!$F$34</f>
        <v>0</v>
      </c>
      <c r="Q47" s="26">
        <f>CUSTOS!$F$35</f>
        <v>0</v>
      </c>
      <c r="R47" s="26">
        <f>CUSTOS!$F$36</f>
        <v>0</v>
      </c>
      <c r="S47" s="26">
        <f>CUSTOS!$F$37</f>
        <v>0</v>
      </c>
      <c r="T47" s="26">
        <f>CUSTOS!$F$38</f>
        <v>0</v>
      </c>
      <c r="U47" s="26">
        <f>CUSTOS!$F$39</f>
        <v>0</v>
      </c>
      <c r="V47" s="26">
        <f>CUSTOS!$F$40</f>
        <v>0</v>
      </c>
      <c r="W47" s="26">
        <f>CUSTOS!$F$41</f>
        <v>0</v>
      </c>
      <c r="X47" s="26">
        <f>CUSTOS!$F$42</f>
        <v>0</v>
      </c>
      <c r="Y47" s="26">
        <f>CUSTOS!$F$43</f>
        <v>0</v>
      </c>
      <c r="Z47" s="26">
        <f>CUSTOS!$F$44</f>
        <v>0</v>
      </c>
      <c r="AA47" s="26">
        <f>CUSTOS!$F$45</f>
        <v>0</v>
      </c>
      <c r="AB47" s="26">
        <f>CUSTOS!$F$46</f>
        <v>0</v>
      </c>
    </row>
    <row r="48" spans="1:28" ht="11.25" customHeight="1" x14ac:dyDescent="0.25">
      <c r="K48" s="31" t="s">
        <v>523</v>
      </c>
      <c r="L48" s="26">
        <f>'TR TE'!$L$48*L49</f>
        <v>0</v>
      </c>
      <c r="M48" s="26">
        <f>'TR TE'!$M$48*M49</f>
        <v>0</v>
      </c>
      <c r="N48" s="26">
        <f>'TR TE'!$N$48*N49</f>
        <v>0</v>
      </c>
      <c r="O48" s="26">
        <f>'TR TE'!$O$48*O49</f>
        <v>0</v>
      </c>
      <c r="P48" s="26">
        <f>'TR TE'!$P$48*P49</f>
        <v>0</v>
      </c>
      <c r="Q48" s="26"/>
      <c r="R48" s="26">
        <f>'TR TE'!$R$48*R49</f>
        <v>-0.62579525613273579</v>
      </c>
      <c r="S48" s="26"/>
      <c r="T48" s="26">
        <f>'TR TE'!$T$48*T49</f>
        <v>0</v>
      </c>
      <c r="U48" s="26">
        <f>'TR TE'!$U$48*U49</f>
        <v>0</v>
      </c>
      <c r="V48" s="26">
        <f>'TR TE'!$V$48*V49</f>
        <v>0</v>
      </c>
      <c r="W48" s="26"/>
      <c r="X48" s="26"/>
      <c r="Y48" s="26"/>
      <c r="Z48" s="26">
        <f>'TR TE'!$Z$48*Z49</f>
        <v>0</v>
      </c>
      <c r="AA48" s="26"/>
      <c r="AB48" s="26"/>
    </row>
    <row r="49" spans="11:28" ht="11.25" customHeight="1" x14ac:dyDescent="0.25">
      <c r="K49" s="31" t="s">
        <v>510</v>
      </c>
      <c r="L49" s="26">
        <f>IF(L45&lt;&gt;0,L46/L45,0)</f>
        <v>0</v>
      </c>
      <c r="M49" s="26">
        <f>IF(M45&lt;&gt;0,M46/M45,0)</f>
        <v>0</v>
      </c>
      <c r="N49" s="26">
        <f>IF(N45&lt;&gt;0,N46/N45,0)</f>
        <v>0</v>
      </c>
      <c r="O49" s="26">
        <f>IF(O45&lt;&gt;0,O46/O45,0)</f>
        <v>0</v>
      </c>
      <c r="P49" s="26">
        <f>IF(P45&lt;&gt;0,P46/P45,0)</f>
        <v>0</v>
      </c>
      <c r="Q49" s="26"/>
      <c r="R49" s="26">
        <f>IF(R45&lt;&gt;0,R46/R45,0)</f>
        <v>-5.2617233765666115E-3</v>
      </c>
      <c r="S49" s="26"/>
      <c r="T49" s="26">
        <f>IF(T45&lt;&gt;0,T46/T45,0)</f>
        <v>0</v>
      </c>
      <c r="U49" s="26">
        <f>IF(U45&lt;&gt;0,U46/U45,0)</f>
        <v>0</v>
      </c>
      <c r="V49" s="26">
        <f>IF(V45&lt;&gt;0,V46/V45,0)</f>
        <v>0</v>
      </c>
      <c r="W49" s="26"/>
      <c r="X49" s="26">
        <f>IF(($AB45-0)&lt;&gt;0,X46/($AB45-0),0)</f>
        <v>-1.4297248710623852E-2</v>
      </c>
      <c r="Y49" s="26"/>
      <c r="Z49" s="26">
        <f>IF(Z45&lt;&gt;0,Z46/Z45,0)</f>
        <v>0</v>
      </c>
      <c r="AA49" s="26"/>
      <c r="AB49" s="26"/>
    </row>
    <row r="50" spans="11:28" ht="11.25" customHeight="1" x14ac:dyDescent="0.25">
      <c r="K50" s="31" t="s">
        <v>525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</sheetData>
  <mergeCells count="61">
    <mergeCell ref="E36:E38"/>
    <mergeCell ref="F36:F38"/>
    <mergeCell ref="A41:A42"/>
    <mergeCell ref="B41:B42"/>
    <mergeCell ref="C41:C42"/>
    <mergeCell ref="D36:D38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A8:A20"/>
    <mergeCell ref="B8:B10"/>
    <mergeCell ref="C8:C10"/>
    <mergeCell ref="D8:D10"/>
    <mergeCell ref="E8:E10"/>
    <mergeCell ref="F8:F10"/>
    <mergeCell ref="B11:B15"/>
    <mergeCell ref="C11:C15"/>
    <mergeCell ref="B16:B20"/>
    <mergeCell ref="C16:C20"/>
    <mergeCell ref="Z3:AA3"/>
    <mergeCell ref="AB3:AB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4">
    <cfRule type="cellIs" dxfId="586" priority="33" operator="notEqual">
      <formula>$L$45</formula>
    </cfRule>
    <cfRule type="cellIs" dxfId="585" priority="34" operator="equal">
      <formula>$L$45</formula>
    </cfRule>
  </conditionalFormatting>
  <conditionalFormatting sqref="M44">
    <cfRule type="cellIs" dxfId="584" priority="31" operator="notEqual">
      <formula>$M$45</formula>
    </cfRule>
    <cfRule type="cellIs" dxfId="583" priority="32" operator="equal">
      <formula>$M$45</formula>
    </cfRule>
  </conditionalFormatting>
  <conditionalFormatting sqref="N44">
    <cfRule type="cellIs" dxfId="582" priority="29" operator="notEqual">
      <formula>$N$45</formula>
    </cfRule>
    <cfRule type="cellIs" dxfId="581" priority="30" operator="equal">
      <formula>$N$45</formula>
    </cfRule>
  </conditionalFormatting>
  <conditionalFormatting sqref="O44">
    <cfRule type="cellIs" dxfId="580" priority="27" operator="notEqual">
      <formula>$O$45</formula>
    </cfRule>
    <cfRule type="cellIs" dxfId="579" priority="28" operator="equal">
      <formula>$O$45</formula>
    </cfRule>
  </conditionalFormatting>
  <conditionalFormatting sqref="P44">
    <cfRule type="cellIs" dxfId="578" priority="25" operator="notEqual">
      <formula>$P$45</formula>
    </cfRule>
    <cfRule type="cellIs" dxfId="577" priority="26" operator="equal">
      <formula>$P$45</formula>
    </cfRule>
  </conditionalFormatting>
  <conditionalFormatting sqref="Q44">
    <cfRule type="cellIs" dxfId="576" priority="23" operator="notEqual">
      <formula>$Q$45</formula>
    </cfRule>
    <cfRule type="cellIs" dxfId="575" priority="24" operator="equal">
      <formula>$Q$45</formula>
    </cfRule>
  </conditionalFormatting>
  <conditionalFormatting sqref="R44">
    <cfRule type="cellIs" dxfId="574" priority="21" operator="notEqual">
      <formula>$R$45</formula>
    </cfRule>
    <cfRule type="cellIs" dxfId="573" priority="22" operator="equal">
      <formula>$R$45</formula>
    </cfRule>
  </conditionalFormatting>
  <conditionalFormatting sqref="S44">
    <cfRule type="cellIs" dxfId="572" priority="19" operator="notEqual">
      <formula>$S$45</formula>
    </cfRule>
    <cfRule type="cellIs" dxfId="571" priority="20" operator="equal">
      <formula>$S$45</formula>
    </cfRule>
  </conditionalFormatting>
  <conditionalFormatting sqref="T44">
    <cfRule type="cellIs" dxfId="570" priority="17" operator="notEqual">
      <formula>$T$45</formula>
    </cfRule>
    <cfRule type="cellIs" dxfId="569" priority="18" operator="equal">
      <formula>$T$45</formula>
    </cfRule>
  </conditionalFormatting>
  <conditionalFormatting sqref="U44">
    <cfRule type="cellIs" dxfId="568" priority="15" operator="notEqual">
      <formula>$U$45</formula>
    </cfRule>
    <cfRule type="cellIs" dxfId="567" priority="16" operator="equal">
      <formula>$U$45</formula>
    </cfRule>
  </conditionalFormatting>
  <conditionalFormatting sqref="V44">
    <cfRule type="cellIs" dxfId="566" priority="13" operator="notEqual">
      <formula>$V$45</formula>
    </cfRule>
    <cfRule type="cellIs" dxfId="565" priority="14" operator="equal">
      <formula>$V$45</formula>
    </cfRule>
  </conditionalFormatting>
  <conditionalFormatting sqref="W44">
    <cfRule type="cellIs" dxfId="564" priority="11" operator="notEqual">
      <formula>$W$45</formula>
    </cfRule>
    <cfRule type="cellIs" dxfId="563" priority="12" operator="equal">
      <formula>$W$45</formula>
    </cfRule>
  </conditionalFormatting>
  <conditionalFormatting sqref="X44">
    <cfRule type="cellIs" dxfId="562" priority="9" operator="notEqual">
      <formula>$X$45</formula>
    </cfRule>
    <cfRule type="cellIs" dxfId="561" priority="10" operator="equal">
      <formula>$X$45</formula>
    </cfRule>
  </conditionalFormatting>
  <conditionalFormatting sqref="Y44">
    <cfRule type="cellIs" dxfId="560" priority="7" operator="notEqual">
      <formula>$Y$45</formula>
    </cfRule>
    <cfRule type="cellIs" dxfId="559" priority="8" operator="equal">
      <formula>$Y$45</formula>
    </cfRule>
  </conditionalFormatting>
  <conditionalFormatting sqref="Z44">
    <cfRule type="cellIs" dxfId="558" priority="5" operator="notEqual">
      <formula>$Z$45</formula>
    </cfRule>
    <cfRule type="cellIs" dxfId="557" priority="6" operator="equal">
      <formula>$Z$45</formula>
    </cfRule>
  </conditionalFormatting>
  <conditionalFormatting sqref="AA44">
    <cfRule type="cellIs" dxfId="556" priority="3" operator="notEqual">
      <formula>$AA$45</formula>
    </cfRule>
    <cfRule type="cellIs" dxfId="555" priority="4" operator="equal">
      <formula>$AA$45</formula>
    </cfRule>
  </conditionalFormatting>
  <conditionalFormatting sqref="AB44">
    <cfRule type="cellIs" dxfId="554" priority="1" operator="notEqual">
      <formula>$AB$45</formula>
    </cfRule>
    <cfRule type="cellIs" dxfId="553" priority="2" operator="equal">
      <formula>$AB$45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E75-C8F0-41E1-B43D-A057B5712637}">
  <dimension ref="A1:AB50"/>
  <sheetViews>
    <sheetView showGridLines="0" topLeftCell="L1" workbookViewId="0">
      <selection activeCell="AB44" sqref="AB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.42578125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2" t="s">
        <v>56</v>
      </c>
      <c r="B1" s="112" t="s">
        <v>57</v>
      </c>
      <c r="C1" s="112" t="s">
        <v>58</v>
      </c>
      <c r="D1" s="112" t="s">
        <v>59</v>
      </c>
      <c r="E1" s="112" t="s">
        <v>60</v>
      </c>
      <c r="F1" s="112" t="s">
        <v>15</v>
      </c>
      <c r="G1" s="112" t="s">
        <v>62</v>
      </c>
      <c r="H1" s="112" t="s">
        <v>63</v>
      </c>
      <c r="I1" s="112" t="s">
        <v>500</v>
      </c>
      <c r="J1" s="95"/>
      <c r="L1" s="110" t="s">
        <v>527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</row>
    <row r="2" spans="1:28" ht="11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95"/>
      <c r="L2" s="110" t="s">
        <v>427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</row>
    <row r="3" spans="1:28" ht="11.2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95"/>
      <c r="L3" s="110" t="s">
        <v>400</v>
      </c>
      <c r="M3" s="110"/>
      <c r="N3" s="110"/>
      <c r="O3" s="110"/>
      <c r="P3" s="110"/>
      <c r="Q3" s="110"/>
      <c r="R3" s="110" t="s">
        <v>431</v>
      </c>
      <c r="S3" s="110"/>
      <c r="T3" s="110" t="s">
        <v>409</v>
      </c>
      <c r="U3" s="110"/>
      <c r="V3" s="110"/>
      <c r="W3" s="110"/>
      <c r="X3" s="110" t="s">
        <v>419</v>
      </c>
      <c r="Y3" s="110"/>
      <c r="Z3" s="110" t="s">
        <v>422</v>
      </c>
      <c r="AA3" s="110"/>
      <c r="AB3" s="110" t="s">
        <v>408</v>
      </c>
    </row>
    <row r="4" spans="1:28" ht="11.2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95"/>
      <c r="L4" s="30" t="s">
        <v>402</v>
      </c>
      <c r="M4" s="30" t="s">
        <v>428</v>
      </c>
      <c r="N4" s="30" t="s">
        <v>429</v>
      </c>
      <c r="O4" s="30" t="s">
        <v>488</v>
      </c>
      <c r="P4" s="30" t="s">
        <v>430</v>
      </c>
      <c r="Q4" s="30" t="s">
        <v>408</v>
      </c>
      <c r="R4" s="30" t="s">
        <v>432</v>
      </c>
      <c r="S4" s="30" t="s">
        <v>408</v>
      </c>
      <c r="T4" s="30" t="s">
        <v>433</v>
      </c>
      <c r="U4" s="30" t="s">
        <v>434</v>
      </c>
      <c r="V4" s="30" t="s">
        <v>435</v>
      </c>
      <c r="W4" s="30" t="s">
        <v>408</v>
      </c>
      <c r="X4" s="30" t="s">
        <v>420</v>
      </c>
      <c r="Y4" s="30" t="s">
        <v>408</v>
      </c>
      <c r="Z4" s="30" t="s">
        <v>436</v>
      </c>
      <c r="AA4" s="30" t="s">
        <v>408</v>
      </c>
      <c r="AB4" s="111"/>
    </row>
    <row r="5" spans="1:28" ht="11.25" customHeight="1" x14ac:dyDescent="0.25">
      <c r="A5" s="113" t="s">
        <v>39</v>
      </c>
      <c r="B5" s="113" t="s">
        <v>65</v>
      </c>
      <c r="C5" s="113" t="s">
        <v>25</v>
      </c>
      <c r="D5" s="113" t="s">
        <v>25</v>
      </c>
      <c r="E5" s="113" t="s">
        <v>25</v>
      </c>
      <c r="F5" s="113" t="s">
        <v>25</v>
      </c>
      <c r="G5" s="29" t="s">
        <v>67</v>
      </c>
      <c r="H5" s="29" t="s">
        <v>66</v>
      </c>
      <c r="I5" s="29">
        <f>'MERCADO TE'!$U$2</f>
        <v>60.844000000000008</v>
      </c>
      <c r="J5" s="15"/>
      <c r="L5" s="26">
        <f>'TE BE'!$L$5*'TE BE'!$L$49</f>
        <v>0</v>
      </c>
      <c r="M5" s="26">
        <f>'TE BE'!$M$5*'TE BE'!$M$49</f>
        <v>0</v>
      </c>
      <c r="N5" s="26">
        <f>'TE BE'!$N$5*'TE BE'!$N$49</f>
        <v>0</v>
      </c>
      <c r="O5" s="26">
        <f>'TE BE'!$O$5*'TE BE'!$O$49</f>
        <v>0</v>
      </c>
      <c r="P5" s="26">
        <f>'TE BE'!$P$5*'TE BE'!$P$49</f>
        <v>0</v>
      </c>
      <c r="Q5" s="26">
        <f>SUM($L$5:$P$5)</f>
        <v>0</v>
      </c>
      <c r="R5" s="26">
        <f>'TE BE'!$R$5*'TE BE'!$R$49</f>
        <v>-0.62483558398714711</v>
      </c>
      <c r="S5" s="26">
        <f>SUM($R$5:$R$5)</f>
        <v>-0.62483558398714711</v>
      </c>
      <c r="T5" s="26">
        <f>'TE BE'!$T$5*'TE BE'!$T$49</f>
        <v>0</v>
      </c>
      <c r="U5" s="26">
        <f>'TE BE'!$U$5*'TE BE'!$U$49</f>
        <v>0</v>
      </c>
      <c r="V5" s="26">
        <f>'TE BE'!$V$5*'TE BE'!$V$49</f>
        <v>0</v>
      </c>
      <c r="W5" s="26">
        <f>SUM($T$5:$V$5)</f>
        <v>0</v>
      </c>
      <c r="X5" s="26">
        <f>'TE BE'!$AB$5*'TE BE'!$X$49</f>
        <v>-1.6978144056940898</v>
      </c>
      <c r="Y5" s="26">
        <f>SUM($X$5:$X$5)</f>
        <v>-1.6978144056940898</v>
      </c>
      <c r="Z5" s="26">
        <f>'TE BE'!$Z$5*'TE BE'!$Z$49</f>
        <v>0</v>
      </c>
      <c r="AA5" s="26">
        <f>SUM($Z$5:$Z$5)</f>
        <v>0</v>
      </c>
      <c r="AB5" s="26">
        <f>SUMIF($L$4:$AA$4,"SUBTOTAL",$L$5:$AA$5)</f>
        <v>-2.3226499896812367</v>
      </c>
    </row>
    <row r="6" spans="1:28" ht="11.25" customHeight="1" x14ac:dyDescent="0.25">
      <c r="A6" s="113"/>
      <c r="B6" s="113"/>
      <c r="C6" s="113"/>
      <c r="D6" s="113"/>
      <c r="E6" s="113"/>
      <c r="F6" s="113"/>
      <c r="G6" s="29" t="s">
        <v>68</v>
      </c>
      <c r="H6" s="29" t="s">
        <v>66</v>
      </c>
      <c r="I6" s="29">
        <f>'MERCADO TE'!$U$3</f>
        <v>1244.3510000000001</v>
      </c>
      <c r="J6" s="15"/>
      <c r="L6" s="26">
        <f>'TE BE'!$L$6*'TE BE'!$L$49</f>
        <v>0</v>
      </c>
      <c r="M6" s="26">
        <f>'TE BE'!$M$6*'TE BE'!$M$49</f>
        <v>0</v>
      </c>
      <c r="N6" s="26">
        <f>'TE BE'!$N$6*'TE BE'!$N$49</f>
        <v>0</v>
      </c>
      <c r="O6" s="26">
        <f>'TE BE'!$O$6*'TE BE'!$O$49</f>
        <v>0</v>
      </c>
      <c r="P6" s="26">
        <f>'TE BE'!$P$6*'TE BE'!$P$49</f>
        <v>0</v>
      </c>
      <c r="Q6" s="26">
        <f>SUM($L$6:$P$6)</f>
        <v>0</v>
      </c>
      <c r="R6" s="26">
        <f>'TE BE'!$R$6*'TE BE'!$R$49</f>
        <v>-0.62483558398714711</v>
      </c>
      <c r="S6" s="26">
        <f>SUM($R$6:$R$6)</f>
        <v>-0.62483558398714711</v>
      </c>
      <c r="T6" s="26">
        <f>'TE BE'!$T$6*'TE BE'!$T$49</f>
        <v>0</v>
      </c>
      <c r="U6" s="26">
        <f>'TE BE'!$U$6*'TE BE'!$U$49</f>
        <v>0</v>
      </c>
      <c r="V6" s="26">
        <f>'TE BE'!$V$6*'TE BE'!$V$49</f>
        <v>0</v>
      </c>
      <c r="W6" s="26">
        <f>SUM($T$6:$V$6)</f>
        <v>0</v>
      </c>
      <c r="X6" s="26">
        <f>'TE BE'!$AB$6*'TE BE'!$X$49</f>
        <v>-1.6978144056940898</v>
      </c>
      <c r="Y6" s="26">
        <f>SUM($X$6:$X$6)</f>
        <v>-1.6978144056940898</v>
      </c>
      <c r="Z6" s="26">
        <f>'TE BE'!$Z$6*'TE BE'!$Z$49</f>
        <v>0</v>
      </c>
      <c r="AA6" s="26">
        <f>SUM($Z$6:$Z$6)</f>
        <v>0</v>
      </c>
      <c r="AB6" s="26">
        <f>SUMIF($L$4:$AA$4,"SUBTOTAL",$L$6:$AA$6)</f>
        <v>-2.3226499896812367</v>
      </c>
    </row>
    <row r="7" spans="1:28" ht="11.25" customHeight="1" x14ac:dyDescent="0.25">
      <c r="A7" s="113"/>
      <c r="B7" s="28" t="s">
        <v>69</v>
      </c>
      <c r="C7" s="28" t="s">
        <v>25</v>
      </c>
      <c r="D7" s="28" t="s">
        <v>25</v>
      </c>
      <c r="E7" s="28" t="s">
        <v>25</v>
      </c>
      <c r="F7" s="28" t="s">
        <v>25</v>
      </c>
      <c r="G7" s="29" t="s">
        <v>70</v>
      </c>
      <c r="H7" s="29" t="s">
        <v>66</v>
      </c>
      <c r="I7" s="29">
        <f>'MERCADO TE'!$U$4</f>
        <v>0</v>
      </c>
      <c r="J7" s="15"/>
      <c r="L7" s="26">
        <f>'TE BE'!$L$7*'TE BE'!$L$49</f>
        <v>0</v>
      </c>
      <c r="M7" s="26">
        <f>'TE BE'!$M$7*'TE BE'!$M$49</f>
        <v>0</v>
      </c>
      <c r="N7" s="26">
        <f>'TE BE'!$N$7*'TE BE'!$N$49</f>
        <v>0</v>
      </c>
      <c r="O7" s="26">
        <f>'TE BE'!$O$7*'TE BE'!$O$49</f>
        <v>0</v>
      </c>
      <c r="P7" s="26">
        <f>'TE BE'!$P$7*'TE BE'!$P$49</f>
        <v>0</v>
      </c>
      <c r="Q7" s="26">
        <f>SUM($L$7:$P$7)</f>
        <v>0</v>
      </c>
      <c r="R7" s="26">
        <f>'TE BE'!$R$7*'TE BE'!$R$49</f>
        <v>-0.62483558398714711</v>
      </c>
      <c r="S7" s="26">
        <f>SUM($R$7:$R$7)</f>
        <v>-0.62483558398714711</v>
      </c>
      <c r="T7" s="26">
        <f>'TE BE'!$T$7*'TE BE'!$T$49</f>
        <v>0</v>
      </c>
      <c r="U7" s="26">
        <f>'TE BE'!$U$7*'TE BE'!$U$49</f>
        <v>0</v>
      </c>
      <c r="V7" s="26">
        <f>'TE BE'!$V$7*'TE BE'!$V$49</f>
        <v>0</v>
      </c>
      <c r="W7" s="26">
        <f>SUM($T$7:$V$7)</f>
        <v>0</v>
      </c>
      <c r="X7" s="26">
        <f>'TE BE'!$AB$7*'TE BE'!$X$49</f>
        <v>-1.6978144056940898</v>
      </c>
      <c r="Y7" s="26">
        <f>SUM($X$7:$X$7)</f>
        <v>-1.6978144056940898</v>
      </c>
      <c r="Z7" s="26">
        <f>'TE BE'!$Z$7*'TE BE'!$Z$49</f>
        <v>0</v>
      </c>
      <c r="AA7" s="26">
        <f>SUM($Z$7:$Z$7)</f>
        <v>0</v>
      </c>
      <c r="AB7" s="26">
        <f>SUMIF($L$4:$AA$4,"SUBTOTAL",$L$7:$AA$7)</f>
        <v>-2.3226499896812367</v>
      </c>
    </row>
    <row r="8" spans="1:28" ht="11.25" customHeight="1" x14ac:dyDescent="0.25">
      <c r="A8" s="113" t="s">
        <v>22</v>
      </c>
      <c r="B8" s="113" t="s">
        <v>65</v>
      </c>
      <c r="C8" s="113" t="s">
        <v>24</v>
      </c>
      <c r="D8" s="113" t="s">
        <v>24</v>
      </c>
      <c r="E8" s="113" t="s">
        <v>25</v>
      </c>
      <c r="F8" s="113" t="s">
        <v>25</v>
      </c>
      <c r="G8" s="29" t="s">
        <v>67</v>
      </c>
      <c r="H8" s="29" t="s">
        <v>66</v>
      </c>
      <c r="I8" s="29">
        <f>'MERCADO TE'!$U$5</f>
        <v>0.22599999999999998</v>
      </c>
      <c r="J8" s="15"/>
      <c r="L8" s="26">
        <f>'TE BE'!$L$8*'TE BE'!$L$49</f>
        <v>0</v>
      </c>
      <c r="M8" s="26">
        <f>'TE BE'!$M$8*'TE BE'!$M$49</f>
        <v>0</v>
      </c>
      <c r="N8" s="26">
        <f>'TE BE'!$N$8*'TE BE'!$N$49</f>
        <v>0</v>
      </c>
      <c r="O8" s="26">
        <f>'TE BE'!$O$8*'TE BE'!$O$49</f>
        <v>0</v>
      </c>
      <c r="P8" s="26">
        <f>'TE BE'!$P$8*'TE BE'!$P$49</f>
        <v>0</v>
      </c>
      <c r="Q8" s="26">
        <f>SUM($L$8:$P$8)</f>
        <v>0</v>
      </c>
      <c r="R8" s="26">
        <f>'TE BE'!$R$8*'TE BE'!$R$49</f>
        <v>-0.62483558398714711</v>
      </c>
      <c r="S8" s="26">
        <f>SUM($R$8:$R$8)</f>
        <v>-0.62483558398714711</v>
      </c>
      <c r="T8" s="26">
        <f>'TE BE'!$T$8*'TE BE'!$T$49</f>
        <v>0</v>
      </c>
      <c r="U8" s="26">
        <f>'TE BE'!$U$8*'TE BE'!$U$49</f>
        <v>0</v>
      </c>
      <c r="V8" s="26">
        <f>'TE BE'!$V$8*'TE BE'!$V$49</f>
        <v>0</v>
      </c>
      <c r="W8" s="26">
        <f>SUM($T$8:$V$8)</f>
        <v>0</v>
      </c>
      <c r="X8" s="26">
        <f>'TE BE'!$AB$8*'TE BE'!$X$49</f>
        <v>-1.6978144056940898</v>
      </c>
      <c r="Y8" s="26">
        <f>SUM($X$8:$X$8)</f>
        <v>-1.6978144056940898</v>
      </c>
      <c r="Z8" s="26">
        <f>'TE BE'!$Z$8*'TE BE'!$Z$49</f>
        <v>0</v>
      </c>
      <c r="AA8" s="26">
        <f>SUM($Z$8:$Z$8)</f>
        <v>0</v>
      </c>
      <c r="AB8" s="26">
        <f>SUMIF($L$4:$AA$4,"SUBTOTAL",$L$8:$AA$8)</f>
        <v>-2.3226499896812367</v>
      </c>
    </row>
    <row r="9" spans="1:28" ht="11.25" customHeight="1" x14ac:dyDescent="0.25">
      <c r="A9" s="113"/>
      <c r="B9" s="113"/>
      <c r="C9" s="113"/>
      <c r="D9" s="113"/>
      <c r="E9" s="113"/>
      <c r="F9" s="113"/>
      <c r="G9" s="29" t="s">
        <v>80</v>
      </c>
      <c r="H9" s="29" t="s">
        <v>66</v>
      </c>
      <c r="I9" s="29">
        <f>'MERCADO TE'!$U$6</f>
        <v>0.29500000000000004</v>
      </c>
      <c r="J9" s="15"/>
      <c r="L9" s="26">
        <f>'TE BE'!$L$9*'TE BE'!$L$49</f>
        <v>0</v>
      </c>
      <c r="M9" s="26">
        <f>'TE BE'!$M$9*'TE BE'!$M$49</f>
        <v>0</v>
      </c>
      <c r="N9" s="26">
        <f>'TE BE'!$N$9*'TE BE'!$N$49</f>
        <v>0</v>
      </c>
      <c r="O9" s="26">
        <f>'TE BE'!$O$9*'TE BE'!$O$49</f>
        <v>0</v>
      </c>
      <c r="P9" s="26">
        <f>'TE BE'!$P$9*'TE BE'!$P$49</f>
        <v>0</v>
      </c>
      <c r="Q9" s="26">
        <f>SUM($L$9:$P$9)</f>
        <v>0</v>
      </c>
      <c r="R9" s="26">
        <f>'TE BE'!$R$9*'TE BE'!$R$49</f>
        <v>-0.62483558398714711</v>
      </c>
      <c r="S9" s="26">
        <f>SUM($R$9:$R$9)</f>
        <v>-0.62483558398714711</v>
      </c>
      <c r="T9" s="26">
        <f>'TE BE'!$T$9*'TE BE'!$T$49</f>
        <v>0</v>
      </c>
      <c r="U9" s="26">
        <f>'TE BE'!$U$9*'TE BE'!$U$49</f>
        <v>0</v>
      </c>
      <c r="V9" s="26">
        <f>'TE BE'!$V$9*'TE BE'!$V$49</f>
        <v>0</v>
      </c>
      <c r="W9" s="26">
        <f>SUM($T$9:$V$9)</f>
        <v>0</v>
      </c>
      <c r="X9" s="26">
        <f>'TE BE'!$AB$9*'TE BE'!$X$49</f>
        <v>-1.6978144056940898</v>
      </c>
      <c r="Y9" s="26">
        <f>SUM($X$9:$X$9)</f>
        <v>-1.6978144056940898</v>
      </c>
      <c r="Z9" s="26">
        <f>'TE BE'!$Z$9*'TE BE'!$Z$49</f>
        <v>0</v>
      </c>
      <c r="AA9" s="26">
        <f>SUM($Z$9:$Z$9)</f>
        <v>0</v>
      </c>
      <c r="AB9" s="26">
        <f>SUMIF($L$4:$AA$4,"SUBTOTAL",$L$9:$AA$9)</f>
        <v>-2.3226499896812367</v>
      </c>
    </row>
    <row r="10" spans="1:28" ht="11.25" customHeight="1" x14ac:dyDescent="0.25">
      <c r="A10" s="113"/>
      <c r="B10" s="113"/>
      <c r="C10" s="113"/>
      <c r="D10" s="113"/>
      <c r="E10" s="113"/>
      <c r="F10" s="113"/>
      <c r="G10" s="29" t="s">
        <v>68</v>
      </c>
      <c r="H10" s="29" t="s">
        <v>66</v>
      </c>
      <c r="I10" s="29">
        <f>'MERCADO TE'!$U$7</f>
        <v>2.2109999999999999</v>
      </c>
      <c r="J10" s="15"/>
      <c r="L10" s="26">
        <f>'TE BE'!$L$10*'TE BE'!$L$49</f>
        <v>0</v>
      </c>
      <c r="M10" s="26">
        <f>'TE BE'!$M$10*'TE BE'!$M$49</f>
        <v>0</v>
      </c>
      <c r="N10" s="26">
        <f>'TE BE'!$N$10*'TE BE'!$N$49</f>
        <v>0</v>
      </c>
      <c r="O10" s="26">
        <f>'TE BE'!$O$10*'TE BE'!$O$49</f>
        <v>0</v>
      </c>
      <c r="P10" s="26">
        <f>'TE BE'!$P$10*'TE BE'!$P$49</f>
        <v>0</v>
      </c>
      <c r="Q10" s="26">
        <f>SUM($L$10:$P$10)</f>
        <v>0</v>
      </c>
      <c r="R10" s="26">
        <f>'TE BE'!$R$10*'TE BE'!$R$49</f>
        <v>-0.62483558398714711</v>
      </c>
      <c r="S10" s="26">
        <f>SUM($R$10:$R$10)</f>
        <v>-0.62483558398714711</v>
      </c>
      <c r="T10" s="26">
        <f>'TE BE'!$T$10*'TE BE'!$T$49</f>
        <v>0</v>
      </c>
      <c r="U10" s="26">
        <f>'TE BE'!$U$10*'TE BE'!$U$49</f>
        <v>0</v>
      </c>
      <c r="V10" s="26">
        <f>'TE BE'!$V$10*'TE BE'!$V$49</f>
        <v>0</v>
      </c>
      <c r="W10" s="26">
        <f>SUM($T$10:$V$10)</f>
        <v>0</v>
      </c>
      <c r="X10" s="26">
        <f>'TE BE'!$AB$10*'TE BE'!$X$49</f>
        <v>-1.6978144056940898</v>
      </c>
      <c r="Y10" s="26">
        <f>SUM($X$10:$X$10)</f>
        <v>-1.6978144056940898</v>
      </c>
      <c r="Z10" s="26">
        <f>'TE BE'!$Z$10*'TE BE'!$Z$49</f>
        <v>0</v>
      </c>
      <c r="AA10" s="26">
        <f>SUM($Z$10:$Z$10)</f>
        <v>0</v>
      </c>
      <c r="AB10" s="26">
        <f>SUMIF($L$4:$AA$4,"SUBTOTAL",$L$10:$AA$10)</f>
        <v>-2.3226499896812367</v>
      </c>
    </row>
    <row r="11" spans="1:28" ht="11.25" customHeight="1" x14ac:dyDescent="0.25">
      <c r="A11" s="113"/>
      <c r="B11" s="113" t="s">
        <v>69</v>
      </c>
      <c r="C11" s="113" t="s">
        <v>24</v>
      </c>
      <c r="D11" s="28" t="s">
        <v>24</v>
      </c>
      <c r="E11" s="28" t="s">
        <v>25</v>
      </c>
      <c r="F11" s="28" t="s">
        <v>25</v>
      </c>
      <c r="G11" s="29" t="s">
        <v>70</v>
      </c>
      <c r="H11" s="29" t="s">
        <v>66</v>
      </c>
      <c r="I11" s="29">
        <f>'MERCADO TE'!$U$8</f>
        <v>11826.234</v>
      </c>
      <c r="J11" s="15"/>
      <c r="L11" s="26">
        <f>'TE BE'!$L$11*'TE BE'!$L$49</f>
        <v>0</v>
      </c>
      <c r="M11" s="26">
        <f>'TE BE'!$M$11*'TE BE'!$M$49</f>
        <v>0</v>
      </c>
      <c r="N11" s="26">
        <f>'TE BE'!$N$11*'TE BE'!$N$49</f>
        <v>0</v>
      </c>
      <c r="O11" s="26">
        <f>'TE BE'!$O$11*'TE BE'!$O$49</f>
        <v>0</v>
      </c>
      <c r="P11" s="26">
        <f>'TE BE'!$P$11*'TE BE'!$P$49</f>
        <v>0</v>
      </c>
      <c r="Q11" s="26">
        <f>SUM($L$11:$P$11)</f>
        <v>0</v>
      </c>
      <c r="R11" s="26">
        <f>'TE BE'!$R$11*'TE BE'!$R$49</f>
        <v>-0.62483558398714711</v>
      </c>
      <c r="S11" s="26">
        <f>SUM($R$11:$R$11)</f>
        <v>-0.62483558398714711</v>
      </c>
      <c r="T11" s="26">
        <f>'TE BE'!$T$11*'TE BE'!$T$49</f>
        <v>0</v>
      </c>
      <c r="U11" s="26">
        <f>'TE BE'!$U$11*'TE BE'!$U$49</f>
        <v>0</v>
      </c>
      <c r="V11" s="26">
        <f>'TE BE'!$V$11*'TE BE'!$V$49</f>
        <v>0</v>
      </c>
      <c r="W11" s="26">
        <f>SUM($T$11:$V$11)</f>
        <v>0</v>
      </c>
      <c r="X11" s="26">
        <f>'TE BE'!$AB$11*'TE BE'!$X$49</f>
        <v>-1.6978144056940898</v>
      </c>
      <c r="Y11" s="26">
        <f>SUM($X$11:$X$11)</f>
        <v>-1.6978144056940898</v>
      </c>
      <c r="Z11" s="26">
        <f>'TE BE'!$Z$11*'TE BE'!$Z$49</f>
        <v>0</v>
      </c>
      <c r="AA11" s="26">
        <f>SUM($Z$11:$Z$11)</f>
        <v>0</v>
      </c>
      <c r="AB11" s="26">
        <f>SUMIF($L$4:$AA$4,"SUBTOTAL",$L$11:$AA$11)</f>
        <v>-2.3226499896812367</v>
      </c>
    </row>
    <row r="12" spans="1:28" ht="11.25" customHeight="1" x14ac:dyDescent="0.25">
      <c r="A12" s="113"/>
      <c r="B12" s="113"/>
      <c r="C12" s="113"/>
      <c r="D12" s="28" t="s">
        <v>29</v>
      </c>
      <c r="E12" s="28" t="s">
        <v>25</v>
      </c>
      <c r="F12" s="28" t="s">
        <v>25</v>
      </c>
      <c r="G12" s="29" t="s">
        <v>70</v>
      </c>
      <c r="H12" s="29" t="s">
        <v>66</v>
      </c>
      <c r="I12" s="29">
        <f>'MERCADO TE'!$U$9</f>
        <v>111.53999999999999</v>
      </c>
      <c r="J12" s="15"/>
      <c r="L12" s="26">
        <f>'TE BE'!$L$12*'TE BE'!$L$49</f>
        <v>0</v>
      </c>
      <c r="M12" s="26">
        <f>'TE BE'!$M$12*'TE BE'!$M$49</f>
        <v>0</v>
      </c>
      <c r="N12" s="26">
        <f>'TE BE'!$N$12*'TE BE'!$N$49</f>
        <v>0</v>
      </c>
      <c r="O12" s="26">
        <f>'TE BE'!$O$12*'TE BE'!$O$49</f>
        <v>0</v>
      </c>
      <c r="P12" s="26">
        <f>'TE BE'!$P$12*'TE BE'!$P$49</f>
        <v>0</v>
      </c>
      <c r="Q12" s="26">
        <f>SUM($L$12:$P$12)</f>
        <v>0</v>
      </c>
      <c r="R12" s="26">
        <f>'TE BE'!$R$12*'TE BE'!$R$49</f>
        <v>-0.62483558398714711</v>
      </c>
      <c r="S12" s="26">
        <f>SUM($R$12:$R$12)</f>
        <v>-0.62483558398714711</v>
      </c>
      <c r="T12" s="26">
        <f>'TE BE'!$T$12*'TE BE'!$T$49</f>
        <v>0</v>
      </c>
      <c r="U12" s="26">
        <f>'TE BE'!$U$12*'TE BE'!$U$49</f>
        <v>0</v>
      </c>
      <c r="V12" s="26">
        <f>'TE BE'!$V$12*'TE BE'!$V$49</f>
        <v>0</v>
      </c>
      <c r="W12" s="26">
        <f>SUM($T$12:$V$12)</f>
        <v>0</v>
      </c>
      <c r="X12" s="26">
        <f>'TE BE'!$AB$12*'TE BE'!$X$49</f>
        <v>-1.6978144056940898</v>
      </c>
      <c r="Y12" s="26">
        <f>SUM($X$12:$X$12)</f>
        <v>-1.6978144056940898</v>
      </c>
      <c r="Z12" s="26">
        <f>'TE BE'!$Z$12*'TE BE'!$Z$49</f>
        <v>0</v>
      </c>
      <c r="AA12" s="26">
        <f>SUM($Z$12:$Z$12)</f>
        <v>0</v>
      </c>
      <c r="AB12" s="26">
        <f>SUMIF($L$4:$AA$4,"SUBTOTAL",$L$12:$AA$12)</f>
        <v>-2.3226499896812367</v>
      </c>
    </row>
    <row r="13" spans="1:28" ht="11.25" customHeight="1" x14ac:dyDescent="0.25">
      <c r="A13" s="113"/>
      <c r="B13" s="113"/>
      <c r="C13" s="113"/>
      <c r="D13" s="28" t="s">
        <v>30</v>
      </c>
      <c r="E13" s="28" t="s">
        <v>25</v>
      </c>
      <c r="F13" s="28" t="s">
        <v>25</v>
      </c>
      <c r="G13" s="29" t="s">
        <v>70</v>
      </c>
      <c r="H13" s="29" t="s">
        <v>66</v>
      </c>
      <c r="I13" s="29">
        <f>'MERCADO TE'!$U$10</f>
        <v>220.67500000000001</v>
      </c>
      <c r="J13" s="15"/>
      <c r="L13" s="26">
        <f>'TE BE'!$L$13*'TE BE'!$L$49</f>
        <v>0</v>
      </c>
      <c r="M13" s="26">
        <f>'TE BE'!$M$13*'TE BE'!$M$49</f>
        <v>0</v>
      </c>
      <c r="N13" s="26">
        <f>'TE BE'!$N$13*'TE BE'!$N$49</f>
        <v>0</v>
      </c>
      <c r="O13" s="26">
        <f>'TE BE'!$O$13*'TE BE'!$O$49</f>
        <v>0</v>
      </c>
      <c r="P13" s="26">
        <f>'TE BE'!$P$13*'TE BE'!$P$49</f>
        <v>0</v>
      </c>
      <c r="Q13" s="26">
        <f>SUM($L$13:$P$13)</f>
        <v>0</v>
      </c>
      <c r="R13" s="26">
        <f>'TE BE'!$R$13*'TE BE'!$R$49</f>
        <v>-0.62483558398714711</v>
      </c>
      <c r="S13" s="26">
        <f>SUM($R$13:$R$13)</f>
        <v>-0.62483558398714711</v>
      </c>
      <c r="T13" s="26">
        <f>'TE BE'!$T$13*'TE BE'!$T$49</f>
        <v>0</v>
      </c>
      <c r="U13" s="26">
        <f>'TE BE'!$U$13*'TE BE'!$U$49</f>
        <v>0</v>
      </c>
      <c r="V13" s="26">
        <f>'TE BE'!$V$13*'TE BE'!$V$49</f>
        <v>0</v>
      </c>
      <c r="W13" s="26">
        <f>SUM($T$13:$V$13)</f>
        <v>0</v>
      </c>
      <c r="X13" s="26">
        <f>'TE BE'!$AB$13*'TE BE'!$X$49</f>
        <v>-1.6978144056940898</v>
      </c>
      <c r="Y13" s="26">
        <f>SUM($X$13:$X$13)</f>
        <v>-1.6978144056940898</v>
      </c>
      <c r="Z13" s="26">
        <f>'TE BE'!$Z$13*'TE BE'!$Z$49</f>
        <v>0</v>
      </c>
      <c r="AA13" s="26">
        <f>SUM($Z$13:$Z$13)</f>
        <v>0</v>
      </c>
      <c r="AB13" s="26">
        <f>SUMIF($L$4:$AA$4,"SUBTOTAL",$L$13:$AA$13)</f>
        <v>-2.3226499896812367</v>
      </c>
    </row>
    <row r="14" spans="1:28" ht="11.25" customHeight="1" x14ac:dyDescent="0.25">
      <c r="A14" s="113"/>
      <c r="B14" s="113"/>
      <c r="C14" s="113"/>
      <c r="D14" s="28" t="s">
        <v>31</v>
      </c>
      <c r="E14" s="28" t="s">
        <v>25</v>
      </c>
      <c r="F14" s="28" t="s">
        <v>25</v>
      </c>
      <c r="G14" s="29" t="s">
        <v>70</v>
      </c>
      <c r="H14" s="29" t="s">
        <v>66</v>
      </c>
      <c r="I14" s="29">
        <f>'MERCADO TE'!$U$11</f>
        <v>205.22700000000003</v>
      </c>
      <c r="J14" s="15"/>
      <c r="L14" s="26">
        <f>'TE BE'!$L$14*'TE BE'!$L$49</f>
        <v>0</v>
      </c>
      <c r="M14" s="26">
        <f>'TE BE'!$M$14*'TE BE'!$M$49</f>
        <v>0</v>
      </c>
      <c r="N14" s="26">
        <f>'TE BE'!$N$14*'TE BE'!$N$49</f>
        <v>0</v>
      </c>
      <c r="O14" s="26">
        <f>'TE BE'!$O$14*'TE BE'!$O$49</f>
        <v>0</v>
      </c>
      <c r="P14" s="26">
        <f>'TE BE'!$P$14*'TE BE'!$P$49</f>
        <v>0</v>
      </c>
      <c r="Q14" s="26">
        <f>SUM($L$14:$P$14)</f>
        <v>0</v>
      </c>
      <c r="R14" s="26">
        <f>'TE BE'!$R$14*'TE BE'!$R$49</f>
        <v>-0.62483558398714711</v>
      </c>
      <c r="S14" s="26">
        <f>SUM($R$14:$R$14)</f>
        <v>-0.62483558398714711</v>
      </c>
      <c r="T14" s="26">
        <f>'TE BE'!$T$14*'TE BE'!$T$49</f>
        <v>0</v>
      </c>
      <c r="U14" s="26">
        <f>'TE BE'!$U$14*'TE BE'!$U$49</f>
        <v>0</v>
      </c>
      <c r="V14" s="26">
        <f>'TE BE'!$V$14*'TE BE'!$V$49</f>
        <v>0</v>
      </c>
      <c r="W14" s="26">
        <f>SUM($T$14:$V$14)</f>
        <v>0</v>
      </c>
      <c r="X14" s="26">
        <f>'TE BE'!$AB$14*'TE BE'!$X$49</f>
        <v>-1.6978144056940898</v>
      </c>
      <c r="Y14" s="26">
        <f>SUM($X$14:$X$14)</f>
        <v>-1.6978144056940898</v>
      </c>
      <c r="Z14" s="26">
        <f>'TE BE'!$Z$14*'TE BE'!$Z$49</f>
        <v>0</v>
      </c>
      <c r="AA14" s="26">
        <f>SUM($Z$14:$Z$14)</f>
        <v>0</v>
      </c>
      <c r="AB14" s="26">
        <f>SUMIF($L$4:$AA$4,"SUBTOTAL",$L$14:$AA$14)</f>
        <v>-2.3226499896812367</v>
      </c>
    </row>
    <row r="15" spans="1:28" ht="11.25" customHeight="1" x14ac:dyDescent="0.25">
      <c r="A15" s="113"/>
      <c r="B15" s="113"/>
      <c r="C15" s="113"/>
      <c r="D15" s="28" t="s">
        <v>32</v>
      </c>
      <c r="E15" s="28" t="s">
        <v>25</v>
      </c>
      <c r="F15" s="28" t="s">
        <v>25</v>
      </c>
      <c r="G15" s="29" t="s">
        <v>70</v>
      </c>
      <c r="H15" s="29" t="s">
        <v>66</v>
      </c>
      <c r="I15" s="29">
        <f>'MERCADO TE'!$U$12</f>
        <v>75.31</v>
      </c>
      <c r="J15" s="15"/>
      <c r="L15" s="26">
        <f>'TE BE'!$L$15*'TE BE'!$L$49</f>
        <v>0</v>
      </c>
      <c r="M15" s="26">
        <f>'TE BE'!$M$15*'TE BE'!$M$49</f>
        <v>0</v>
      </c>
      <c r="N15" s="26">
        <f>'TE BE'!$N$15*'TE BE'!$N$49</f>
        <v>0</v>
      </c>
      <c r="O15" s="26">
        <f>'TE BE'!$O$15*'TE BE'!$O$49</f>
        <v>0</v>
      </c>
      <c r="P15" s="26">
        <f>'TE BE'!$P$15*'TE BE'!$P$49</f>
        <v>0</v>
      </c>
      <c r="Q15" s="26">
        <f>SUM($L$15:$P$15)</f>
        <v>0</v>
      </c>
      <c r="R15" s="26">
        <f>'TE BE'!$R$15*'TE BE'!$R$49</f>
        <v>-0.62483558398714711</v>
      </c>
      <c r="S15" s="26">
        <f>SUM($R$15:$R$15)</f>
        <v>-0.62483558398714711</v>
      </c>
      <c r="T15" s="26">
        <f>'TE BE'!$T$15*'TE BE'!$T$49</f>
        <v>0</v>
      </c>
      <c r="U15" s="26">
        <f>'TE BE'!$U$15*'TE BE'!$U$49</f>
        <v>0</v>
      </c>
      <c r="V15" s="26">
        <f>'TE BE'!$V$15*'TE BE'!$V$49</f>
        <v>0</v>
      </c>
      <c r="W15" s="26">
        <f>SUM($T$15:$V$15)</f>
        <v>0</v>
      </c>
      <c r="X15" s="26">
        <f>'TE BE'!$AB$15*'TE BE'!$X$49</f>
        <v>-1.6978144056940898</v>
      </c>
      <c r="Y15" s="26">
        <f>SUM($X$15:$X$15)</f>
        <v>-1.6978144056940898</v>
      </c>
      <c r="Z15" s="26">
        <f>'TE BE'!$Z$15*'TE BE'!$Z$49</f>
        <v>0</v>
      </c>
      <c r="AA15" s="26">
        <f>SUM($Z$15:$Z$15)</f>
        <v>0</v>
      </c>
      <c r="AB15" s="26">
        <f>SUMIF($L$4:$AA$4,"SUBTOTAL",$L$15:$AA$15)</f>
        <v>-2.3226499896812367</v>
      </c>
    </row>
    <row r="16" spans="1:28" ht="11.25" customHeight="1" x14ac:dyDescent="0.25">
      <c r="A16" s="113"/>
      <c r="B16" s="113" t="s">
        <v>81</v>
      </c>
      <c r="C16" s="113" t="s">
        <v>24</v>
      </c>
      <c r="D16" s="28" t="s">
        <v>24</v>
      </c>
      <c r="E16" s="28" t="s">
        <v>25</v>
      </c>
      <c r="F16" s="28" t="s">
        <v>25</v>
      </c>
      <c r="G16" s="29" t="s">
        <v>70</v>
      </c>
      <c r="H16" s="29" t="s">
        <v>66</v>
      </c>
      <c r="I16" s="29">
        <f>'MERCADO TE'!$U$13</f>
        <v>0</v>
      </c>
      <c r="J16" s="15"/>
      <c r="L16" s="26">
        <f>'TE BE'!$L$16*'TE BE'!$L$49</f>
        <v>0</v>
      </c>
      <c r="M16" s="26">
        <f>'TE BE'!$M$16*'TE BE'!$M$49</f>
        <v>0</v>
      </c>
      <c r="N16" s="26">
        <f>'TE BE'!$N$16*'TE BE'!$N$49</f>
        <v>0</v>
      </c>
      <c r="O16" s="26">
        <f>'TE BE'!$O$16*'TE BE'!$O$49</f>
        <v>0</v>
      </c>
      <c r="P16" s="26">
        <f>'TE BE'!$P$16*'TE BE'!$P$49</f>
        <v>0</v>
      </c>
      <c r="Q16" s="26">
        <f>SUM($L$16:$P$16)</f>
        <v>0</v>
      </c>
      <c r="R16" s="26">
        <f>'TE BE'!$R$16*'TE BE'!$R$49</f>
        <v>-0.62483558398714711</v>
      </c>
      <c r="S16" s="26">
        <f>SUM($R$16:$R$16)</f>
        <v>-0.62483558398714711</v>
      </c>
      <c r="T16" s="26">
        <f>'TE BE'!$T$16*'TE BE'!$T$49</f>
        <v>0</v>
      </c>
      <c r="U16" s="26">
        <f>'TE BE'!$U$16*'TE BE'!$U$49</f>
        <v>0</v>
      </c>
      <c r="V16" s="26">
        <f>'TE BE'!$V$16*'TE BE'!$V$49</f>
        <v>0</v>
      </c>
      <c r="W16" s="26">
        <f>SUM($T$16:$V$16)</f>
        <v>0</v>
      </c>
      <c r="X16" s="26">
        <f>'TE BE'!$AB$16*'TE BE'!$X$49</f>
        <v>-1.6978144056940898</v>
      </c>
      <c r="Y16" s="26">
        <f>SUM($X$16:$X$16)</f>
        <v>-1.6978144056940898</v>
      </c>
      <c r="Z16" s="26">
        <f>'TE BE'!$Z$16*'TE BE'!$Z$49</f>
        <v>0</v>
      </c>
      <c r="AA16" s="26">
        <f>SUM($Z$16:$Z$16)</f>
        <v>0</v>
      </c>
      <c r="AB16" s="26">
        <f>SUMIF($L$4:$AA$4,"SUBTOTAL",$L$16:$AA$16)</f>
        <v>-2.3226499896812367</v>
      </c>
    </row>
    <row r="17" spans="1:28" ht="11.25" customHeight="1" x14ac:dyDescent="0.25">
      <c r="A17" s="113"/>
      <c r="B17" s="113"/>
      <c r="C17" s="113"/>
      <c r="D17" s="28" t="s">
        <v>29</v>
      </c>
      <c r="E17" s="28" t="s">
        <v>25</v>
      </c>
      <c r="F17" s="28" t="s">
        <v>25</v>
      </c>
      <c r="G17" s="29" t="s">
        <v>70</v>
      </c>
      <c r="H17" s="29" t="s">
        <v>66</v>
      </c>
      <c r="I17" s="29">
        <f>'MERCADO TE'!$U$14</f>
        <v>0</v>
      </c>
      <c r="J17" s="15"/>
      <c r="L17" s="26">
        <f>'TE BE'!$L$17*'TE BE'!$L$49</f>
        <v>0</v>
      </c>
      <c r="M17" s="26">
        <f>'TE BE'!$M$17*'TE BE'!$M$49</f>
        <v>0</v>
      </c>
      <c r="N17" s="26">
        <f>'TE BE'!$N$17*'TE BE'!$N$49</f>
        <v>0</v>
      </c>
      <c r="O17" s="26">
        <f>'TE BE'!$O$17*'TE BE'!$O$49</f>
        <v>0</v>
      </c>
      <c r="P17" s="26">
        <f>'TE BE'!$P$17*'TE BE'!$P$49</f>
        <v>0</v>
      </c>
      <c r="Q17" s="26">
        <f>SUM($L$17:$P$17)</f>
        <v>0</v>
      </c>
      <c r="R17" s="26">
        <f>'TE BE'!$R$17*'TE BE'!$R$49</f>
        <v>-0.62483558398714711</v>
      </c>
      <c r="S17" s="26">
        <f>SUM($R$17:$R$17)</f>
        <v>-0.62483558398714711</v>
      </c>
      <c r="T17" s="26">
        <f>'TE BE'!$T$17*'TE BE'!$T$49</f>
        <v>0</v>
      </c>
      <c r="U17" s="26">
        <f>'TE BE'!$U$17*'TE BE'!$U$49</f>
        <v>0</v>
      </c>
      <c r="V17" s="26">
        <f>'TE BE'!$V$17*'TE BE'!$V$49</f>
        <v>0</v>
      </c>
      <c r="W17" s="26">
        <f>SUM($T$17:$V$17)</f>
        <v>0</v>
      </c>
      <c r="X17" s="26">
        <f>'TE BE'!$AB$17*'TE BE'!$X$49</f>
        <v>-1.6978144056940898</v>
      </c>
      <c r="Y17" s="26">
        <f>SUM($X$17:$X$17)</f>
        <v>-1.6978144056940898</v>
      </c>
      <c r="Z17" s="26">
        <f>'TE BE'!$Z$17*'TE BE'!$Z$49</f>
        <v>0</v>
      </c>
      <c r="AA17" s="26">
        <f>SUM($Z$17:$Z$17)</f>
        <v>0</v>
      </c>
      <c r="AB17" s="26">
        <f>SUMIF($L$4:$AA$4,"SUBTOTAL",$L$17:$AA$17)</f>
        <v>-2.3226499896812367</v>
      </c>
    </row>
    <row r="18" spans="1:28" ht="11.25" customHeight="1" x14ac:dyDescent="0.25">
      <c r="A18" s="113"/>
      <c r="B18" s="113"/>
      <c r="C18" s="113"/>
      <c r="D18" s="28" t="s">
        <v>30</v>
      </c>
      <c r="E18" s="28" t="s">
        <v>25</v>
      </c>
      <c r="F18" s="28" t="s">
        <v>25</v>
      </c>
      <c r="G18" s="29" t="s">
        <v>70</v>
      </c>
      <c r="H18" s="29" t="s">
        <v>66</v>
      </c>
      <c r="I18" s="29">
        <f>'MERCADO TE'!$U$15</f>
        <v>0</v>
      </c>
      <c r="J18" s="15"/>
      <c r="L18" s="26">
        <f>'TE BE'!$L$18*'TE BE'!$L$49</f>
        <v>0</v>
      </c>
      <c r="M18" s="26">
        <f>'TE BE'!$M$18*'TE BE'!$M$49</f>
        <v>0</v>
      </c>
      <c r="N18" s="26">
        <f>'TE BE'!$N$18*'TE BE'!$N$49</f>
        <v>0</v>
      </c>
      <c r="O18" s="26">
        <f>'TE BE'!$O$18*'TE BE'!$O$49</f>
        <v>0</v>
      </c>
      <c r="P18" s="26">
        <f>'TE BE'!$P$18*'TE BE'!$P$49</f>
        <v>0</v>
      </c>
      <c r="Q18" s="26">
        <f>SUM($L$18:$P$18)</f>
        <v>0</v>
      </c>
      <c r="R18" s="26">
        <f>'TE BE'!$R$18*'TE BE'!$R$49</f>
        <v>-0.62483558398714711</v>
      </c>
      <c r="S18" s="26">
        <f>SUM($R$18:$R$18)</f>
        <v>-0.62483558398714711</v>
      </c>
      <c r="T18" s="26">
        <f>'TE BE'!$T$18*'TE BE'!$T$49</f>
        <v>0</v>
      </c>
      <c r="U18" s="26">
        <f>'TE BE'!$U$18*'TE BE'!$U$49</f>
        <v>0</v>
      </c>
      <c r="V18" s="26">
        <f>'TE BE'!$V$18*'TE BE'!$V$49</f>
        <v>0</v>
      </c>
      <c r="W18" s="26">
        <f>SUM($T$18:$V$18)</f>
        <v>0</v>
      </c>
      <c r="X18" s="26">
        <f>'TE BE'!$AB$18*'TE BE'!$X$49</f>
        <v>-1.6978144056940898</v>
      </c>
      <c r="Y18" s="26">
        <f>SUM($X$18:$X$18)</f>
        <v>-1.6978144056940898</v>
      </c>
      <c r="Z18" s="26">
        <f>'TE BE'!$Z$18*'TE BE'!$Z$49</f>
        <v>0</v>
      </c>
      <c r="AA18" s="26">
        <f>SUM($Z$18:$Z$18)</f>
        <v>0</v>
      </c>
      <c r="AB18" s="26">
        <f>SUMIF($L$4:$AA$4,"SUBTOTAL",$L$18:$AA$18)</f>
        <v>-2.3226499896812367</v>
      </c>
    </row>
    <row r="19" spans="1:28" ht="11.25" customHeight="1" x14ac:dyDescent="0.25">
      <c r="A19" s="113"/>
      <c r="B19" s="113"/>
      <c r="C19" s="113"/>
      <c r="D19" s="28" t="s">
        <v>31</v>
      </c>
      <c r="E19" s="28" t="s">
        <v>25</v>
      </c>
      <c r="F19" s="28" t="s">
        <v>25</v>
      </c>
      <c r="G19" s="29" t="s">
        <v>70</v>
      </c>
      <c r="H19" s="29" t="s">
        <v>66</v>
      </c>
      <c r="I19" s="29">
        <f>'MERCADO TE'!$U$16</f>
        <v>0</v>
      </c>
      <c r="J19" s="15"/>
      <c r="L19" s="26">
        <f>'TE BE'!$L$19*'TE BE'!$L$49</f>
        <v>0</v>
      </c>
      <c r="M19" s="26">
        <f>'TE BE'!$M$19*'TE BE'!$M$49</f>
        <v>0</v>
      </c>
      <c r="N19" s="26">
        <f>'TE BE'!$N$19*'TE BE'!$N$49</f>
        <v>0</v>
      </c>
      <c r="O19" s="26">
        <f>'TE BE'!$O$19*'TE BE'!$O$49</f>
        <v>0</v>
      </c>
      <c r="P19" s="26">
        <f>'TE BE'!$P$19*'TE BE'!$P$49</f>
        <v>0</v>
      </c>
      <c r="Q19" s="26">
        <f>SUM($L$19:$P$19)</f>
        <v>0</v>
      </c>
      <c r="R19" s="26">
        <f>'TE BE'!$R$19*'TE BE'!$R$49</f>
        <v>-0.62483558398714711</v>
      </c>
      <c r="S19" s="26">
        <f>SUM($R$19:$R$19)</f>
        <v>-0.62483558398714711</v>
      </c>
      <c r="T19" s="26">
        <f>'TE BE'!$T$19*'TE BE'!$T$49</f>
        <v>0</v>
      </c>
      <c r="U19" s="26">
        <f>'TE BE'!$U$19*'TE BE'!$U$49</f>
        <v>0</v>
      </c>
      <c r="V19" s="26">
        <f>'TE BE'!$V$19*'TE BE'!$V$49</f>
        <v>0</v>
      </c>
      <c r="W19" s="26">
        <f>SUM($T$19:$V$19)</f>
        <v>0</v>
      </c>
      <c r="X19" s="26">
        <f>'TE BE'!$AB$19*'TE BE'!$X$49</f>
        <v>-1.6978144056940898</v>
      </c>
      <c r="Y19" s="26">
        <f>SUM($X$19:$X$19)</f>
        <v>-1.6978144056940898</v>
      </c>
      <c r="Z19" s="26">
        <f>'TE BE'!$Z$19*'TE BE'!$Z$49</f>
        <v>0</v>
      </c>
      <c r="AA19" s="26">
        <f>SUM($Z$19:$Z$19)</f>
        <v>0</v>
      </c>
      <c r="AB19" s="26">
        <f>SUMIF($L$4:$AA$4,"SUBTOTAL",$L$19:$AA$19)</f>
        <v>-2.3226499896812367</v>
      </c>
    </row>
    <row r="20" spans="1:28" ht="11.25" customHeight="1" x14ac:dyDescent="0.25">
      <c r="A20" s="113"/>
      <c r="B20" s="113"/>
      <c r="C20" s="113"/>
      <c r="D20" s="28" t="s">
        <v>32</v>
      </c>
      <c r="E20" s="28" t="s">
        <v>25</v>
      </c>
      <c r="F20" s="28" t="s">
        <v>25</v>
      </c>
      <c r="G20" s="29" t="s">
        <v>70</v>
      </c>
      <c r="H20" s="29" t="s">
        <v>66</v>
      </c>
      <c r="I20" s="29">
        <f>'MERCADO TE'!$U$17</f>
        <v>0</v>
      </c>
      <c r="J20" s="15"/>
      <c r="L20" s="26">
        <f>'TE BE'!$L$20*'TE BE'!$L$49</f>
        <v>0</v>
      </c>
      <c r="M20" s="26">
        <f>'TE BE'!$M$20*'TE BE'!$M$49</f>
        <v>0</v>
      </c>
      <c r="N20" s="26">
        <f>'TE BE'!$N$20*'TE BE'!$N$49</f>
        <v>0</v>
      </c>
      <c r="O20" s="26">
        <f>'TE BE'!$O$20*'TE BE'!$O$49</f>
        <v>0</v>
      </c>
      <c r="P20" s="26">
        <f>'TE BE'!$P$20*'TE BE'!$P$49</f>
        <v>0</v>
      </c>
      <c r="Q20" s="26">
        <f>SUM($L$20:$P$20)</f>
        <v>0</v>
      </c>
      <c r="R20" s="26">
        <f>'TE BE'!$R$20*'TE BE'!$R$49</f>
        <v>-0.62483558398714711</v>
      </c>
      <c r="S20" s="26">
        <f>SUM($R$20:$R$20)</f>
        <v>-0.62483558398714711</v>
      </c>
      <c r="T20" s="26">
        <f>'TE BE'!$T$20*'TE BE'!$T$49</f>
        <v>0</v>
      </c>
      <c r="U20" s="26">
        <f>'TE BE'!$U$20*'TE BE'!$U$49</f>
        <v>0</v>
      </c>
      <c r="V20" s="26">
        <f>'TE BE'!$V$20*'TE BE'!$V$49</f>
        <v>0</v>
      </c>
      <c r="W20" s="26">
        <f>SUM($T$20:$V$20)</f>
        <v>0</v>
      </c>
      <c r="X20" s="26">
        <f>'TE BE'!$AB$20*'TE BE'!$X$49</f>
        <v>-1.6978144056940898</v>
      </c>
      <c r="Y20" s="26">
        <f>SUM($X$20:$X$20)</f>
        <v>-1.6978144056940898</v>
      </c>
      <c r="Z20" s="26">
        <f>'TE BE'!$Z$20*'TE BE'!$Z$49</f>
        <v>0</v>
      </c>
      <c r="AA20" s="26">
        <f>SUM($Z$20:$Z$20)</f>
        <v>0</v>
      </c>
      <c r="AB20" s="26">
        <f>SUMIF($L$4:$AA$4,"SUBTOTAL",$L$20:$AA$20)</f>
        <v>-2.3226499896812367</v>
      </c>
    </row>
    <row r="21" spans="1:28" ht="11.25" customHeight="1" x14ac:dyDescent="0.25">
      <c r="A21" s="113" t="s">
        <v>41</v>
      </c>
      <c r="B21" s="113" t="s">
        <v>65</v>
      </c>
      <c r="C21" s="113" t="s">
        <v>42</v>
      </c>
      <c r="D21" s="113" t="s">
        <v>25</v>
      </c>
      <c r="E21" s="113" t="s">
        <v>25</v>
      </c>
      <c r="F21" s="113" t="s">
        <v>25</v>
      </c>
      <c r="G21" s="29" t="s">
        <v>67</v>
      </c>
      <c r="H21" s="29" t="s">
        <v>66</v>
      </c>
      <c r="I21" s="29">
        <f>'MERCADO TE'!$U$18</f>
        <v>0</v>
      </c>
      <c r="J21" s="15"/>
      <c r="L21" s="26">
        <f>'TE BE'!$L$21*'TE BE'!$L$49</f>
        <v>0</v>
      </c>
      <c r="M21" s="26">
        <f>'TE BE'!$M$21*'TE BE'!$M$49</f>
        <v>0</v>
      </c>
      <c r="N21" s="26">
        <f>'TE BE'!$N$21*'TE BE'!$N$49</f>
        <v>0</v>
      </c>
      <c r="O21" s="26">
        <f>'TE BE'!$O$21*'TE BE'!$O$49</f>
        <v>0</v>
      </c>
      <c r="P21" s="26">
        <f>'TE BE'!$P$21*'TE BE'!$P$49</f>
        <v>0</v>
      </c>
      <c r="Q21" s="26">
        <f>SUM($L$21:$P$21)</f>
        <v>0</v>
      </c>
      <c r="R21" s="26">
        <f>'TE BE'!$R$21*'TE BE'!$R$49</f>
        <v>-0.62483558398714711</v>
      </c>
      <c r="S21" s="26">
        <f>SUM($R$21:$R$21)</f>
        <v>-0.62483558398714711</v>
      </c>
      <c r="T21" s="26">
        <f>'TE BE'!$T$21*'TE BE'!$T$49</f>
        <v>0</v>
      </c>
      <c r="U21" s="26">
        <f>'TE BE'!$U$21*'TE BE'!$U$49</f>
        <v>0</v>
      </c>
      <c r="V21" s="26">
        <f>'TE BE'!$V$21*'TE BE'!$V$49</f>
        <v>0</v>
      </c>
      <c r="W21" s="26">
        <f>SUM($T$21:$V$21)</f>
        <v>0</v>
      </c>
      <c r="X21" s="26">
        <f>'TE BE'!$AB$21*'TE BE'!$X$49</f>
        <v>-1.6978144056940898</v>
      </c>
      <c r="Y21" s="26">
        <f>SUM($X$21:$X$21)</f>
        <v>-1.6978144056940898</v>
      </c>
      <c r="Z21" s="26">
        <f>'TE BE'!$Z$21*'TE BE'!$Z$49</f>
        <v>0</v>
      </c>
      <c r="AA21" s="26">
        <f>SUM($Z$21:$Z$21)</f>
        <v>0</v>
      </c>
      <c r="AB21" s="26">
        <f>SUMIF($L$4:$AA$4,"SUBTOTAL",$L$21:$AA$21)</f>
        <v>-2.3226499896812367</v>
      </c>
    </row>
    <row r="22" spans="1:28" ht="11.25" customHeight="1" x14ac:dyDescent="0.25">
      <c r="A22" s="113"/>
      <c r="B22" s="113"/>
      <c r="C22" s="113"/>
      <c r="D22" s="113"/>
      <c r="E22" s="113"/>
      <c r="F22" s="113"/>
      <c r="G22" s="29" t="s">
        <v>80</v>
      </c>
      <c r="H22" s="29" t="s">
        <v>66</v>
      </c>
      <c r="I22" s="29">
        <f>'MERCADO TE'!$U$19</f>
        <v>0</v>
      </c>
      <c r="J22" s="15"/>
      <c r="L22" s="26">
        <f>'TE BE'!$L$22*'TE BE'!$L$49</f>
        <v>0</v>
      </c>
      <c r="M22" s="26">
        <f>'TE BE'!$M$22*'TE BE'!$M$49</f>
        <v>0</v>
      </c>
      <c r="N22" s="26">
        <f>'TE BE'!$N$22*'TE BE'!$N$49</f>
        <v>0</v>
      </c>
      <c r="O22" s="26">
        <f>'TE BE'!$O$22*'TE BE'!$O$49</f>
        <v>0</v>
      </c>
      <c r="P22" s="26">
        <f>'TE BE'!$P$22*'TE BE'!$P$49</f>
        <v>0</v>
      </c>
      <c r="Q22" s="26">
        <f>SUM($L$22:$P$22)</f>
        <v>0</v>
      </c>
      <c r="R22" s="26">
        <f>'TE BE'!$R$22*'TE BE'!$R$49</f>
        <v>-0.62483558398714711</v>
      </c>
      <c r="S22" s="26">
        <f>SUM($R$22:$R$22)</f>
        <v>-0.62483558398714711</v>
      </c>
      <c r="T22" s="26">
        <f>'TE BE'!$T$22*'TE BE'!$T$49</f>
        <v>0</v>
      </c>
      <c r="U22" s="26">
        <f>'TE BE'!$U$22*'TE BE'!$U$49</f>
        <v>0</v>
      </c>
      <c r="V22" s="26">
        <f>'TE BE'!$V$22*'TE BE'!$V$49</f>
        <v>0</v>
      </c>
      <c r="W22" s="26">
        <f>SUM($T$22:$V$22)</f>
        <v>0</v>
      </c>
      <c r="X22" s="26">
        <f>'TE BE'!$AB$22*'TE BE'!$X$49</f>
        <v>-1.6978144056940898</v>
      </c>
      <c r="Y22" s="26">
        <f>SUM($X$22:$X$22)</f>
        <v>-1.6978144056940898</v>
      </c>
      <c r="Z22" s="26">
        <f>'TE BE'!$Z$22*'TE BE'!$Z$49</f>
        <v>0</v>
      </c>
      <c r="AA22" s="26">
        <f>SUM($Z$22:$Z$22)</f>
        <v>0</v>
      </c>
      <c r="AB22" s="26">
        <f>SUMIF($L$4:$AA$4,"SUBTOTAL",$L$22:$AA$22)</f>
        <v>-2.3226499896812367</v>
      </c>
    </row>
    <row r="23" spans="1:28" ht="11.25" customHeight="1" x14ac:dyDescent="0.25">
      <c r="A23" s="113"/>
      <c r="B23" s="113"/>
      <c r="C23" s="113"/>
      <c r="D23" s="113"/>
      <c r="E23" s="113"/>
      <c r="F23" s="113"/>
      <c r="G23" s="29" t="s">
        <v>68</v>
      </c>
      <c r="H23" s="29" t="s">
        <v>66</v>
      </c>
      <c r="I23" s="29">
        <f>'MERCADO TE'!$U$20</f>
        <v>0</v>
      </c>
      <c r="J23" s="15"/>
      <c r="L23" s="26">
        <f>'TE BE'!$L$23*'TE BE'!$L$49</f>
        <v>0</v>
      </c>
      <c r="M23" s="26">
        <f>'TE BE'!$M$23*'TE BE'!$M$49</f>
        <v>0</v>
      </c>
      <c r="N23" s="26">
        <f>'TE BE'!$N$23*'TE BE'!$N$49</f>
        <v>0</v>
      </c>
      <c r="O23" s="26">
        <f>'TE BE'!$O$23*'TE BE'!$O$49</f>
        <v>0</v>
      </c>
      <c r="P23" s="26">
        <f>'TE BE'!$P$23*'TE BE'!$P$49</f>
        <v>0</v>
      </c>
      <c r="Q23" s="26">
        <f>SUM($L$23:$P$23)</f>
        <v>0</v>
      </c>
      <c r="R23" s="26">
        <f>'TE BE'!$R$23*'TE BE'!$R$49</f>
        <v>-0.62483558398714711</v>
      </c>
      <c r="S23" s="26">
        <f>SUM($R$23:$R$23)</f>
        <v>-0.62483558398714711</v>
      </c>
      <c r="T23" s="26">
        <f>'TE BE'!$T$23*'TE BE'!$T$49</f>
        <v>0</v>
      </c>
      <c r="U23" s="26">
        <f>'TE BE'!$U$23*'TE BE'!$U$49</f>
        <v>0</v>
      </c>
      <c r="V23" s="26">
        <f>'TE BE'!$V$23*'TE BE'!$V$49</f>
        <v>0</v>
      </c>
      <c r="W23" s="26">
        <f>SUM($T$23:$V$23)</f>
        <v>0</v>
      </c>
      <c r="X23" s="26">
        <f>'TE BE'!$AB$23*'TE BE'!$X$49</f>
        <v>-1.6978144056940898</v>
      </c>
      <c r="Y23" s="26">
        <f>SUM($X$23:$X$23)</f>
        <v>-1.6978144056940898</v>
      </c>
      <c r="Z23" s="26">
        <f>'TE BE'!$Z$23*'TE BE'!$Z$49</f>
        <v>0</v>
      </c>
      <c r="AA23" s="26">
        <f>SUM($Z$23:$Z$23)</f>
        <v>0</v>
      </c>
      <c r="AB23" s="26">
        <f>SUMIF($L$4:$AA$4,"SUBTOTAL",$L$23:$AA$23)</f>
        <v>-2.3226499896812367</v>
      </c>
    </row>
    <row r="24" spans="1:28" ht="11.25" customHeight="1" x14ac:dyDescent="0.25">
      <c r="A24" s="113"/>
      <c r="B24" s="28" t="s">
        <v>69</v>
      </c>
      <c r="C24" s="28" t="s">
        <v>42</v>
      </c>
      <c r="D24" s="28" t="s">
        <v>25</v>
      </c>
      <c r="E24" s="28" t="s">
        <v>25</v>
      </c>
      <c r="F24" s="28" t="s">
        <v>25</v>
      </c>
      <c r="G24" s="29" t="s">
        <v>70</v>
      </c>
      <c r="H24" s="29" t="s">
        <v>66</v>
      </c>
      <c r="I24" s="29">
        <f>'MERCADO TE'!$U$21</f>
        <v>674.72400000000005</v>
      </c>
      <c r="J24" s="15"/>
      <c r="L24" s="26">
        <f>'TE BE'!$L$24*'TE BE'!$L$49</f>
        <v>0</v>
      </c>
      <c r="M24" s="26">
        <f>'TE BE'!$M$24*'TE BE'!$M$49</f>
        <v>0</v>
      </c>
      <c r="N24" s="26">
        <f>'TE BE'!$N$24*'TE BE'!$N$49</f>
        <v>0</v>
      </c>
      <c r="O24" s="26">
        <f>'TE BE'!$O$24*'TE BE'!$O$49</f>
        <v>0</v>
      </c>
      <c r="P24" s="26">
        <f>'TE BE'!$P$24*'TE BE'!$P$49</f>
        <v>0</v>
      </c>
      <c r="Q24" s="26">
        <f>SUM($L$24:$P$24)</f>
        <v>0</v>
      </c>
      <c r="R24" s="26">
        <f>'TE BE'!$R$24*'TE BE'!$R$49</f>
        <v>-0.62483558398714711</v>
      </c>
      <c r="S24" s="26">
        <f>SUM($R$24:$R$24)</f>
        <v>-0.62483558398714711</v>
      </c>
      <c r="T24" s="26">
        <f>'TE BE'!$T$24*'TE BE'!$T$49</f>
        <v>0</v>
      </c>
      <c r="U24" s="26">
        <f>'TE BE'!$U$24*'TE BE'!$U$49</f>
        <v>0</v>
      </c>
      <c r="V24" s="26">
        <f>'TE BE'!$V$24*'TE BE'!$V$49</f>
        <v>0</v>
      </c>
      <c r="W24" s="26">
        <f>SUM($T$24:$V$24)</f>
        <v>0</v>
      </c>
      <c r="X24" s="26">
        <f>'TE BE'!$AB$24*'TE BE'!$X$49</f>
        <v>-1.6978144056940898</v>
      </c>
      <c r="Y24" s="26">
        <f>SUM($X$24:$X$24)</f>
        <v>-1.6978144056940898</v>
      </c>
      <c r="Z24" s="26">
        <f>'TE BE'!$Z$24*'TE BE'!$Z$49</f>
        <v>0</v>
      </c>
      <c r="AA24" s="26">
        <f>SUM($Z$24:$Z$24)</f>
        <v>0</v>
      </c>
      <c r="AB24" s="26">
        <f>SUMIF($L$4:$AA$4,"SUBTOTAL",$L$24:$AA$24)</f>
        <v>-2.3226499896812367</v>
      </c>
    </row>
    <row r="25" spans="1:28" ht="11.25" customHeight="1" x14ac:dyDescent="0.25">
      <c r="A25" s="113"/>
      <c r="B25" s="113" t="s">
        <v>65</v>
      </c>
      <c r="C25" s="113" t="s">
        <v>42</v>
      </c>
      <c r="D25" s="113" t="s">
        <v>83</v>
      </c>
      <c r="E25" s="113" t="s">
        <v>25</v>
      </c>
      <c r="F25" s="113" t="s">
        <v>25</v>
      </c>
      <c r="G25" s="29" t="s">
        <v>67</v>
      </c>
      <c r="H25" s="29" t="s">
        <v>66</v>
      </c>
      <c r="I25" s="29">
        <f>'MERCADO TE'!$U$22</f>
        <v>0</v>
      </c>
      <c r="J25" s="15"/>
      <c r="L25" s="26">
        <f>'TE BE'!$L$25*'TE BE'!$L$49</f>
        <v>0</v>
      </c>
      <c r="M25" s="26">
        <f>'TE BE'!$M$25*'TE BE'!$M$49</f>
        <v>0</v>
      </c>
      <c r="N25" s="26">
        <f>'TE BE'!$N$25*'TE BE'!$N$49</f>
        <v>0</v>
      </c>
      <c r="O25" s="26">
        <f>'TE BE'!$O$25*'TE BE'!$O$49</f>
        <v>0</v>
      </c>
      <c r="P25" s="26">
        <f>'TE BE'!$P$25*'TE BE'!$P$49</f>
        <v>0</v>
      </c>
      <c r="Q25" s="26">
        <f>SUM($L$25:$P$25)</f>
        <v>0</v>
      </c>
      <c r="R25" s="26">
        <f>'TE BE'!$R$25*'TE BE'!$R$49</f>
        <v>-0.62483558398714711</v>
      </c>
      <c r="S25" s="26">
        <f>SUM($R$25:$R$25)</f>
        <v>-0.62483558398714711</v>
      </c>
      <c r="T25" s="26">
        <f>'TE BE'!$T$25*'TE BE'!$T$49</f>
        <v>0</v>
      </c>
      <c r="U25" s="26">
        <f>'TE BE'!$U$25*'TE BE'!$U$49</f>
        <v>0</v>
      </c>
      <c r="V25" s="26">
        <f>'TE BE'!$V$25*'TE BE'!$V$49</f>
        <v>0</v>
      </c>
      <c r="W25" s="26">
        <f>SUM($T$25:$V$25)</f>
        <v>0</v>
      </c>
      <c r="X25" s="26">
        <f>'TE BE'!$AB$25*'TE BE'!$X$49</f>
        <v>-1.6978144056940898</v>
      </c>
      <c r="Y25" s="26">
        <f>SUM($X$25:$X$25)</f>
        <v>-1.6978144056940898</v>
      </c>
      <c r="Z25" s="26">
        <f>'TE BE'!$Z$25*'TE BE'!$Z$49</f>
        <v>0</v>
      </c>
      <c r="AA25" s="26">
        <f>SUM($Z$25:$Z$25)</f>
        <v>0</v>
      </c>
      <c r="AB25" s="26">
        <f>SUMIF($L$4:$AA$4,"SUBTOTAL",$L$25:$AA$25)</f>
        <v>-2.3226499896812367</v>
      </c>
    </row>
    <row r="26" spans="1:28" ht="11.25" customHeight="1" x14ac:dyDescent="0.25">
      <c r="A26" s="113"/>
      <c r="B26" s="113"/>
      <c r="C26" s="113"/>
      <c r="D26" s="113"/>
      <c r="E26" s="113"/>
      <c r="F26" s="113"/>
      <c r="G26" s="29" t="s">
        <v>80</v>
      </c>
      <c r="H26" s="29" t="s">
        <v>66</v>
      </c>
      <c r="I26" s="29">
        <f>'MERCADO TE'!$U$23</f>
        <v>0</v>
      </c>
      <c r="J26" s="15"/>
      <c r="L26" s="26">
        <f>'TE BE'!$L$26*'TE BE'!$L$49</f>
        <v>0</v>
      </c>
      <c r="M26" s="26">
        <f>'TE BE'!$M$26*'TE BE'!$M$49</f>
        <v>0</v>
      </c>
      <c r="N26" s="26">
        <f>'TE BE'!$N$26*'TE BE'!$N$49</f>
        <v>0</v>
      </c>
      <c r="O26" s="26">
        <f>'TE BE'!$O$26*'TE BE'!$O$49</f>
        <v>0</v>
      </c>
      <c r="P26" s="26">
        <f>'TE BE'!$P$26*'TE BE'!$P$49</f>
        <v>0</v>
      </c>
      <c r="Q26" s="26">
        <f>SUM($L$26:$P$26)</f>
        <v>0</v>
      </c>
      <c r="R26" s="26">
        <f>'TE BE'!$R$26*'TE BE'!$R$49</f>
        <v>-0.62483558398714711</v>
      </c>
      <c r="S26" s="26">
        <f>SUM($R$26:$R$26)</f>
        <v>-0.62483558398714711</v>
      </c>
      <c r="T26" s="26">
        <f>'TE BE'!$T$26*'TE BE'!$T$49</f>
        <v>0</v>
      </c>
      <c r="U26" s="26">
        <f>'TE BE'!$U$26*'TE BE'!$U$49</f>
        <v>0</v>
      </c>
      <c r="V26" s="26">
        <f>'TE BE'!$V$26*'TE BE'!$V$49</f>
        <v>0</v>
      </c>
      <c r="W26" s="26">
        <f>SUM($T$26:$V$26)</f>
        <v>0</v>
      </c>
      <c r="X26" s="26">
        <f>'TE BE'!$AB$26*'TE BE'!$X$49</f>
        <v>-1.6978144056940898</v>
      </c>
      <c r="Y26" s="26">
        <f>SUM($X$26:$X$26)</f>
        <v>-1.6978144056940898</v>
      </c>
      <c r="Z26" s="26">
        <f>'TE BE'!$Z$26*'TE BE'!$Z$49</f>
        <v>0</v>
      </c>
      <c r="AA26" s="26">
        <f>SUM($Z$26:$Z$26)</f>
        <v>0</v>
      </c>
      <c r="AB26" s="26">
        <f>SUMIF($L$4:$AA$4,"SUBTOTAL",$L$26:$AA$26)</f>
        <v>-2.3226499896812367</v>
      </c>
    </row>
    <row r="27" spans="1:28" ht="11.25" customHeight="1" x14ac:dyDescent="0.25">
      <c r="A27" s="113"/>
      <c r="B27" s="113"/>
      <c r="C27" s="113"/>
      <c r="D27" s="113"/>
      <c r="E27" s="113"/>
      <c r="F27" s="113"/>
      <c r="G27" s="29" t="s">
        <v>68</v>
      </c>
      <c r="H27" s="29" t="s">
        <v>66</v>
      </c>
      <c r="I27" s="29">
        <f>'MERCADO TE'!$U$24</f>
        <v>0</v>
      </c>
      <c r="J27" s="15"/>
      <c r="L27" s="26">
        <f>'TE BE'!$L$27*'TE BE'!$L$49</f>
        <v>0</v>
      </c>
      <c r="M27" s="26">
        <f>'TE BE'!$M$27*'TE BE'!$M$49</f>
        <v>0</v>
      </c>
      <c r="N27" s="26">
        <f>'TE BE'!$N$27*'TE BE'!$N$49</f>
        <v>0</v>
      </c>
      <c r="O27" s="26">
        <f>'TE BE'!$O$27*'TE BE'!$O$49</f>
        <v>0</v>
      </c>
      <c r="P27" s="26">
        <f>'TE BE'!$P$27*'TE BE'!$P$49</f>
        <v>0</v>
      </c>
      <c r="Q27" s="26">
        <f>SUM($L$27:$P$27)</f>
        <v>0</v>
      </c>
      <c r="R27" s="26">
        <f>'TE BE'!$R$27*'TE BE'!$R$49</f>
        <v>-0.62483558398714711</v>
      </c>
      <c r="S27" s="26">
        <f>SUM($R$27:$R$27)</f>
        <v>-0.62483558398714711</v>
      </c>
      <c r="T27" s="26">
        <f>'TE BE'!$T$27*'TE BE'!$T$49</f>
        <v>0</v>
      </c>
      <c r="U27" s="26">
        <f>'TE BE'!$U$27*'TE BE'!$U$49</f>
        <v>0</v>
      </c>
      <c r="V27" s="26">
        <f>'TE BE'!$V$27*'TE BE'!$V$49</f>
        <v>0</v>
      </c>
      <c r="W27" s="26">
        <f>SUM($T$27:$V$27)</f>
        <v>0</v>
      </c>
      <c r="X27" s="26">
        <f>'TE BE'!$AB$27*'TE BE'!$X$49</f>
        <v>-1.6978144056940898</v>
      </c>
      <c r="Y27" s="26">
        <f>SUM($X$27:$X$27)</f>
        <v>-1.6978144056940898</v>
      </c>
      <c r="Z27" s="26">
        <f>'TE BE'!$Z$27*'TE BE'!$Z$49</f>
        <v>0</v>
      </c>
      <c r="AA27" s="26">
        <f>SUM($Z$27:$Z$27)</f>
        <v>0</v>
      </c>
      <c r="AB27" s="26">
        <f>SUMIF($L$4:$AA$4,"SUBTOTAL",$L$27:$AA$27)</f>
        <v>-2.3226499896812367</v>
      </c>
    </row>
    <row r="28" spans="1:28" ht="11.25" customHeight="1" x14ac:dyDescent="0.25">
      <c r="A28" s="113"/>
      <c r="B28" s="28" t="s">
        <v>69</v>
      </c>
      <c r="C28" s="28" t="s">
        <v>42</v>
      </c>
      <c r="D28" s="28" t="s">
        <v>83</v>
      </c>
      <c r="E28" s="28" t="s">
        <v>25</v>
      </c>
      <c r="F28" s="28" t="s">
        <v>25</v>
      </c>
      <c r="G28" s="29" t="s">
        <v>70</v>
      </c>
      <c r="H28" s="29" t="s">
        <v>66</v>
      </c>
      <c r="I28" s="29">
        <f>'MERCADO TE'!$U$25</f>
        <v>0</v>
      </c>
      <c r="J28" s="15"/>
      <c r="L28" s="26">
        <f>'TE BE'!$L$28*'TE BE'!$L$49</f>
        <v>0</v>
      </c>
      <c r="M28" s="26">
        <f>'TE BE'!$M$28*'TE BE'!$M$49</f>
        <v>0</v>
      </c>
      <c r="N28" s="26">
        <f>'TE BE'!$N$28*'TE BE'!$N$49</f>
        <v>0</v>
      </c>
      <c r="O28" s="26">
        <f>'TE BE'!$O$28*'TE BE'!$O$49</f>
        <v>0</v>
      </c>
      <c r="P28" s="26">
        <f>'TE BE'!$P$28*'TE BE'!$P$49</f>
        <v>0</v>
      </c>
      <c r="Q28" s="26">
        <f>SUM($L$28:$P$28)</f>
        <v>0</v>
      </c>
      <c r="R28" s="26">
        <f>'TE BE'!$R$28*'TE BE'!$R$49</f>
        <v>-0.62483558398714711</v>
      </c>
      <c r="S28" s="26">
        <f>SUM($R$28:$R$28)</f>
        <v>-0.62483558398714711</v>
      </c>
      <c r="T28" s="26">
        <f>'TE BE'!$T$28*'TE BE'!$T$49</f>
        <v>0</v>
      </c>
      <c r="U28" s="26">
        <f>'TE BE'!$U$28*'TE BE'!$U$49</f>
        <v>0</v>
      </c>
      <c r="V28" s="26">
        <f>'TE BE'!$V$28*'TE BE'!$V$49</f>
        <v>0</v>
      </c>
      <c r="W28" s="26">
        <f>SUM($T$28:$V$28)</f>
        <v>0</v>
      </c>
      <c r="X28" s="26">
        <f>'TE BE'!$AB$28*'TE BE'!$X$49</f>
        <v>-1.6978144056940898</v>
      </c>
      <c r="Y28" s="26">
        <f>SUM($X$28:$X$28)</f>
        <v>-1.6978144056940898</v>
      </c>
      <c r="Z28" s="26">
        <f>'TE BE'!$Z$28*'TE BE'!$Z$49</f>
        <v>0</v>
      </c>
      <c r="AA28" s="26">
        <f>SUM($Z$28:$Z$28)</f>
        <v>0</v>
      </c>
      <c r="AB28" s="26">
        <f>SUMIF($L$4:$AA$4,"SUBTOTAL",$L$28:$AA$28)</f>
        <v>-2.3226499896812367</v>
      </c>
    </row>
    <row r="29" spans="1:28" ht="11.25" customHeight="1" x14ac:dyDescent="0.25">
      <c r="A29" s="113"/>
      <c r="B29" s="113" t="s">
        <v>65</v>
      </c>
      <c r="C29" s="113" t="s">
        <v>42</v>
      </c>
      <c r="D29" s="113" t="s">
        <v>84</v>
      </c>
      <c r="E29" s="113" t="s">
        <v>25</v>
      </c>
      <c r="F29" s="113" t="s">
        <v>25</v>
      </c>
      <c r="G29" s="29" t="s">
        <v>67</v>
      </c>
      <c r="H29" s="29" t="s">
        <v>66</v>
      </c>
      <c r="I29" s="29">
        <f>'MERCADO TE'!$U$26</f>
        <v>0</v>
      </c>
      <c r="J29" s="15"/>
      <c r="L29" s="26">
        <f>'TE BE'!$L$29*'TE BE'!$L$49</f>
        <v>0</v>
      </c>
      <c r="M29" s="26">
        <f>'TE BE'!$M$29*'TE BE'!$M$49</f>
        <v>0</v>
      </c>
      <c r="N29" s="26">
        <f>'TE BE'!$N$29*'TE BE'!$N$49</f>
        <v>0</v>
      </c>
      <c r="O29" s="26">
        <f>'TE BE'!$O$29*'TE BE'!$O$49</f>
        <v>0</v>
      </c>
      <c r="P29" s="26">
        <f>'TE BE'!$P$29*'TE BE'!$P$49</f>
        <v>0</v>
      </c>
      <c r="Q29" s="26">
        <f>SUM($L$29:$P$29)</f>
        <v>0</v>
      </c>
      <c r="R29" s="26">
        <f>'TE BE'!$R$29*'TE BE'!$R$49</f>
        <v>-0.62483558398714711</v>
      </c>
      <c r="S29" s="26">
        <f>SUM($R$29:$R$29)</f>
        <v>-0.62483558398714711</v>
      </c>
      <c r="T29" s="26">
        <f>'TE BE'!$T$29*'TE BE'!$T$49</f>
        <v>0</v>
      </c>
      <c r="U29" s="26">
        <f>'TE BE'!$U$29*'TE BE'!$U$49</f>
        <v>0</v>
      </c>
      <c r="V29" s="26">
        <f>'TE BE'!$V$29*'TE BE'!$V$49</f>
        <v>0</v>
      </c>
      <c r="W29" s="26">
        <f>SUM($T$29:$V$29)</f>
        <v>0</v>
      </c>
      <c r="X29" s="26">
        <f>'TE BE'!$AB$29*'TE BE'!$X$49</f>
        <v>-1.6978144056940898</v>
      </c>
      <c r="Y29" s="26">
        <f>SUM($X$29:$X$29)</f>
        <v>-1.6978144056940898</v>
      </c>
      <c r="Z29" s="26">
        <f>'TE BE'!$Z$29*'TE BE'!$Z$49</f>
        <v>0</v>
      </c>
      <c r="AA29" s="26">
        <f>SUM($Z$29:$Z$29)</f>
        <v>0</v>
      </c>
      <c r="AB29" s="26">
        <f>SUMIF($L$4:$AA$4,"SUBTOTAL",$L$29:$AA$29)</f>
        <v>-2.3226499896812367</v>
      </c>
    </row>
    <row r="30" spans="1:28" ht="11.25" customHeight="1" x14ac:dyDescent="0.25">
      <c r="A30" s="113"/>
      <c r="B30" s="113"/>
      <c r="C30" s="113"/>
      <c r="D30" s="113"/>
      <c r="E30" s="113"/>
      <c r="F30" s="113"/>
      <c r="G30" s="29" t="s">
        <v>80</v>
      </c>
      <c r="H30" s="29" t="s">
        <v>66</v>
      </c>
      <c r="I30" s="29">
        <f>'MERCADO TE'!$U$27</f>
        <v>0</v>
      </c>
      <c r="J30" s="15"/>
      <c r="L30" s="26">
        <f>'TE BE'!$L$30*'TE BE'!$L$49</f>
        <v>0</v>
      </c>
      <c r="M30" s="26">
        <f>'TE BE'!$M$30*'TE BE'!$M$49</f>
        <v>0</v>
      </c>
      <c r="N30" s="26">
        <f>'TE BE'!$N$30*'TE BE'!$N$49</f>
        <v>0</v>
      </c>
      <c r="O30" s="26">
        <f>'TE BE'!$O$30*'TE BE'!$O$49</f>
        <v>0</v>
      </c>
      <c r="P30" s="26">
        <f>'TE BE'!$P$30*'TE BE'!$P$49</f>
        <v>0</v>
      </c>
      <c r="Q30" s="26">
        <f>SUM($L$30:$P$30)</f>
        <v>0</v>
      </c>
      <c r="R30" s="26">
        <f>'TE BE'!$R$30*'TE BE'!$R$49</f>
        <v>-0.62483558398714711</v>
      </c>
      <c r="S30" s="26">
        <f>SUM($R$30:$R$30)</f>
        <v>-0.62483558398714711</v>
      </c>
      <c r="T30" s="26">
        <f>'TE BE'!$T$30*'TE BE'!$T$49</f>
        <v>0</v>
      </c>
      <c r="U30" s="26">
        <f>'TE BE'!$U$30*'TE BE'!$U$49</f>
        <v>0</v>
      </c>
      <c r="V30" s="26">
        <f>'TE BE'!$V$30*'TE BE'!$V$49</f>
        <v>0</v>
      </c>
      <c r="W30" s="26">
        <f>SUM($T$30:$V$30)</f>
        <v>0</v>
      </c>
      <c r="X30" s="26">
        <f>'TE BE'!$AB$30*'TE BE'!$X$49</f>
        <v>-1.6978144056940898</v>
      </c>
      <c r="Y30" s="26">
        <f>SUM($X$30:$X$30)</f>
        <v>-1.6978144056940898</v>
      </c>
      <c r="Z30" s="26">
        <f>'TE BE'!$Z$30*'TE BE'!$Z$49</f>
        <v>0</v>
      </c>
      <c r="AA30" s="26">
        <f>SUM($Z$30:$Z$30)</f>
        <v>0</v>
      </c>
      <c r="AB30" s="26">
        <f>SUMIF($L$4:$AA$4,"SUBTOTAL",$L$30:$AA$30)</f>
        <v>-2.3226499896812367</v>
      </c>
    </row>
    <row r="31" spans="1:28" ht="11.25" customHeight="1" x14ac:dyDescent="0.25">
      <c r="A31" s="113"/>
      <c r="B31" s="113"/>
      <c r="C31" s="113"/>
      <c r="D31" s="113"/>
      <c r="E31" s="113"/>
      <c r="F31" s="113"/>
      <c r="G31" s="29" t="s">
        <v>68</v>
      </c>
      <c r="H31" s="29" t="s">
        <v>66</v>
      </c>
      <c r="I31" s="29">
        <f>'MERCADO TE'!$U$28</f>
        <v>0</v>
      </c>
      <c r="J31" s="15"/>
      <c r="L31" s="26">
        <f>'TE BE'!$L$31*'TE BE'!$L$49</f>
        <v>0</v>
      </c>
      <c r="M31" s="26">
        <f>'TE BE'!$M$31*'TE BE'!$M$49</f>
        <v>0</v>
      </c>
      <c r="N31" s="26">
        <f>'TE BE'!$N$31*'TE BE'!$N$49</f>
        <v>0</v>
      </c>
      <c r="O31" s="26">
        <f>'TE BE'!$O$31*'TE BE'!$O$49</f>
        <v>0</v>
      </c>
      <c r="P31" s="26">
        <f>'TE BE'!$P$31*'TE BE'!$P$49</f>
        <v>0</v>
      </c>
      <c r="Q31" s="26">
        <f>SUM($L$31:$P$31)</f>
        <v>0</v>
      </c>
      <c r="R31" s="26">
        <f>'TE BE'!$R$31*'TE BE'!$R$49</f>
        <v>-0.62483558398714711</v>
      </c>
      <c r="S31" s="26">
        <f>SUM($R$31:$R$31)</f>
        <v>-0.62483558398714711</v>
      </c>
      <c r="T31" s="26">
        <f>'TE BE'!$T$31*'TE BE'!$T$49</f>
        <v>0</v>
      </c>
      <c r="U31" s="26">
        <f>'TE BE'!$U$31*'TE BE'!$U$49</f>
        <v>0</v>
      </c>
      <c r="V31" s="26">
        <f>'TE BE'!$V$31*'TE BE'!$V$49</f>
        <v>0</v>
      </c>
      <c r="W31" s="26">
        <f>SUM($T$31:$V$31)</f>
        <v>0</v>
      </c>
      <c r="X31" s="26">
        <f>'TE BE'!$AB$31*'TE BE'!$X$49</f>
        <v>-1.6978144056940898</v>
      </c>
      <c r="Y31" s="26">
        <f>SUM($X$31:$X$31)</f>
        <v>-1.6978144056940898</v>
      </c>
      <c r="Z31" s="26">
        <f>'TE BE'!$Z$31*'TE BE'!$Z$49</f>
        <v>0</v>
      </c>
      <c r="AA31" s="26">
        <f>SUM($Z$31:$Z$31)</f>
        <v>0</v>
      </c>
      <c r="AB31" s="26">
        <f>SUMIF($L$4:$AA$4,"SUBTOTAL",$L$31:$AA$31)</f>
        <v>-2.3226499896812367</v>
      </c>
    </row>
    <row r="32" spans="1:28" ht="11.25" customHeight="1" x14ac:dyDescent="0.25">
      <c r="A32" s="113"/>
      <c r="B32" s="28" t="s">
        <v>69</v>
      </c>
      <c r="C32" s="28" t="s">
        <v>42</v>
      </c>
      <c r="D32" s="28" t="s">
        <v>84</v>
      </c>
      <c r="E32" s="28" t="s">
        <v>25</v>
      </c>
      <c r="F32" s="28" t="s">
        <v>25</v>
      </c>
      <c r="G32" s="29" t="s">
        <v>70</v>
      </c>
      <c r="H32" s="29" t="s">
        <v>66</v>
      </c>
      <c r="I32" s="29">
        <f>'MERCADO TE'!$U$29</f>
        <v>0</v>
      </c>
      <c r="J32" s="15"/>
      <c r="L32" s="26">
        <f>'TE BE'!$L$32*'TE BE'!$L$49</f>
        <v>0</v>
      </c>
      <c r="M32" s="26">
        <f>'TE BE'!$M$32*'TE BE'!$M$49</f>
        <v>0</v>
      </c>
      <c r="N32" s="26">
        <f>'TE BE'!$N$32*'TE BE'!$N$49</f>
        <v>0</v>
      </c>
      <c r="O32" s="26">
        <f>'TE BE'!$O$32*'TE BE'!$O$49</f>
        <v>0</v>
      </c>
      <c r="P32" s="26">
        <f>'TE BE'!$P$32*'TE BE'!$P$49</f>
        <v>0</v>
      </c>
      <c r="Q32" s="26">
        <f>SUM($L$32:$P$32)</f>
        <v>0</v>
      </c>
      <c r="R32" s="26">
        <f>'TE BE'!$R$32*'TE BE'!$R$49</f>
        <v>-0.62483558398714711</v>
      </c>
      <c r="S32" s="26">
        <f>SUM($R$32:$R$32)</f>
        <v>-0.62483558398714711</v>
      </c>
      <c r="T32" s="26">
        <f>'TE BE'!$T$32*'TE BE'!$T$49</f>
        <v>0</v>
      </c>
      <c r="U32" s="26">
        <f>'TE BE'!$U$32*'TE BE'!$U$49</f>
        <v>0</v>
      </c>
      <c r="V32" s="26">
        <f>'TE BE'!$V$32*'TE BE'!$V$49</f>
        <v>0</v>
      </c>
      <c r="W32" s="26">
        <f>SUM($T$32:$V$32)</f>
        <v>0</v>
      </c>
      <c r="X32" s="26">
        <f>'TE BE'!$AB$32*'TE BE'!$X$49</f>
        <v>-1.6978144056940898</v>
      </c>
      <c r="Y32" s="26">
        <f>SUM($X$32:$X$32)</f>
        <v>-1.6978144056940898</v>
      </c>
      <c r="Z32" s="26">
        <f>'TE BE'!$Z$32*'TE BE'!$Z$49</f>
        <v>0</v>
      </c>
      <c r="AA32" s="26">
        <f>SUM($Z$32:$Z$32)</f>
        <v>0</v>
      </c>
      <c r="AB32" s="26">
        <f>SUMIF($L$4:$AA$4,"SUBTOTAL",$L$32:$AA$32)</f>
        <v>-2.3226499896812367</v>
      </c>
    </row>
    <row r="33" spans="1:28" ht="11.25" customHeight="1" x14ac:dyDescent="0.25">
      <c r="A33" s="113"/>
      <c r="B33" s="113" t="s">
        <v>81</v>
      </c>
      <c r="C33" s="113" t="s">
        <v>42</v>
      </c>
      <c r="D33" s="28" t="s">
        <v>25</v>
      </c>
      <c r="E33" s="28" t="s">
        <v>25</v>
      </c>
      <c r="F33" s="28" t="s">
        <v>25</v>
      </c>
      <c r="G33" s="29" t="s">
        <v>70</v>
      </c>
      <c r="H33" s="29" t="s">
        <v>66</v>
      </c>
      <c r="I33" s="29">
        <f>'MERCADO TE'!$U$30</f>
        <v>0</v>
      </c>
      <c r="J33" s="15"/>
      <c r="L33" s="26">
        <f>'TE BE'!$L$33*'TE BE'!$L$49</f>
        <v>0</v>
      </c>
      <c r="M33" s="26">
        <f>'TE BE'!$M$33*'TE BE'!$M$49</f>
        <v>0</v>
      </c>
      <c r="N33" s="26">
        <f>'TE BE'!$N$33*'TE BE'!$N$49</f>
        <v>0</v>
      </c>
      <c r="O33" s="26">
        <f>'TE BE'!$O$33*'TE BE'!$O$49</f>
        <v>0</v>
      </c>
      <c r="P33" s="26">
        <f>'TE BE'!$P$33*'TE BE'!$P$49</f>
        <v>0</v>
      </c>
      <c r="Q33" s="26">
        <f>SUM($L$33:$P$33)</f>
        <v>0</v>
      </c>
      <c r="R33" s="26">
        <f>'TE BE'!$R$33*'TE BE'!$R$49</f>
        <v>-0.62483558398714711</v>
      </c>
      <c r="S33" s="26">
        <f>SUM($R$33:$R$33)</f>
        <v>-0.62483558398714711</v>
      </c>
      <c r="T33" s="26">
        <f>'TE BE'!$T$33*'TE BE'!$T$49</f>
        <v>0</v>
      </c>
      <c r="U33" s="26">
        <f>'TE BE'!$U$33*'TE BE'!$U$49</f>
        <v>0</v>
      </c>
      <c r="V33" s="26">
        <f>'TE BE'!$V$33*'TE BE'!$V$49</f>
        <v>0</v>
      </c>
      <c r="W33" s="26">
        <f>SUM($T$33:$V$33)</f>
        <v>0</v>
      </c>
      <c r="X33" s="26">
        <f>'TE BE'!$AB$33*'TE BE'!$X$49</f>
        <v>-1.6978144056940898</v>
      </c>
      <c r="Y33" s="26">
        <f>SUM($X$33:$X$33)</f>
        <v>-1.6978144056940898</v>
      </c>
      <c r="Z33" s="26">
        <f>'TE BE'!$Z$33*'TE BE'!$Z$49</f>
        <v>0</v>
      </c>
      <c r="AA33" s="26">
        <f>SUM($Z$33:$Z$33)</f>
        <v>0</v>
      </c>
      <c r="AB33" s="26">
        <f>SUMIF($L$4:$AA$4,"SUBTOTAL",$L$33:$AA$33)</f>
        <v>-2.3226499896812367</v>
      </c>
    </row>
    <row r="34" spans="1:28" ht="11.25" customHeight="1" x14ac:dyDescent="0.25">
      <c r="A34" s="113"/>
      <c r="B34" s="113"/>
      <c r="C34" s="113"/>
      <c r="D34" s="28" t="s">
        <v>83</v>
      </c>
      <c r="E34" s="28" t="s">
        <v>25</v>
      </c>
      <c r="F34" s="28" t="s">
        <v>25</v>
      </c>
      <c r="G34" s="29" t="s">
        <v>70</v>
      </c>
      <c r="H34" s="29" t="s">
        <v>66</v>
      </c>
      <c r="I34" s="29">
        <f>'MERCADO TE'!$U$31</f>
        <v>0</v>
      </c>
      <c r="J34" s="15"/>
      <c r="L34" s="26">
        <f>'TE BE'!$L$34*'TE BE'!$L$49</f>
        <v>0</v>
      </c>
      <c r="M34" s="26">
        <f>'TE BE'!$M$34*'TE BE'!$M$49</f>
        <v>0</v>
      </c>
      <c r="N34" s="26">
        <f>'TE BE'!$N$34*'TE BE'!$N$49</f>
        <v>0</v>
      </c>
      <c r="O34" s="26">
        <f>'TE BE'!$O$34*'TE BE'!$O$49</f>
        <v>0</v>
      </c>
      <c r="P34" s="26">
        <f>'TE BE'!$P$34*'TE BE'!$P$49</f>
        <v>0</v>
      </c>
      <c r="Q34" s="26">
        <f>SUM($L$34:$P$34)</f>
        <v>0</v>
      </c>
      <c r="R34" s="26">
        <f>'TE BE'!$R$34*'TE BE'!$R$49</f>
        <v>-0.62483558398714711</v>
      </c>
      <c r="S34" s="26">
        <f>SUM($R$34:$R$34)</f>
        <v>-0.62483558398714711</v>
      </c>
      <c r="T34" s="26">
        <f>'TE BE'!$T$34*'TE BE'!$T$49</f>
        <v>0</v>
      </c>
      <c r="U34" s="26">
        <f>'TE BE'!$U$34*'TE BE'!$U$49</f>
        <v>0</v>
      </c>
      <c r="V34" s="26">
        <f>'TE BE'!$V$34*'TE BE'!$V$49</f>
        <v>0</v>
      </c>
      <c r="W34" s="26">
        <f>SUM($T$34:$V$34)</f>
        <v>0</v>
      </c>
      <c r="X34" s="26">
        <f>'TE BE'!$AB$34*'TE BE'!$X$49</f>
        <v>-1.6978144056940898</v>
      </c>
      <c r="Y34" s="26">
        <f>SUM($X$34:$X$34)</f>
        <v>-1.6978144056940898</v>
      </c>
      <c r="Z34" s="26">
        <f>'TE BE'!$Z$34*'TE BE'!$Z$49</f>
        <v>0</v>
      </c>
      <c r="AA34" s="26">
        <f>SUM($Z$34:$Z$34)</f>
        <v>0</v>
      </c>
      <c r="AB34" s="26">
        <f>SUMIF($L$4:$AA$4,"SUBTOTAL",$L$34:$AA$34)</f>
        <v>-2.3226499896812367</v>
      </c>
    </row>
    <row r="35" spans="1:28" ht="11.25" customHeight="1" x14ac:dyDescent="0.25">
      <c r="A35" s="113"/>
      <c r="B35" s="113"/>
      <c r="C35" s="113"/>
      <c r="D35" s="28" t="s">
        <v>84</v>
      </c>
      <c r="E35" s="28" t="s">
        <v>25</v>
      </c>
      <c r="F35" s="28" t="s">
        <v>25</v>
      </c>
      <c r="G35" s="29" t="s">
        <v>70</v>
      </c>
      <c r="H35" s="29" t="s">
        <v>66</v>
      </c>
      <c r="I35" s="29">
        <f>'MERCADO TE'!$U$32</f>
        <v>0</v>
      </c>
      <c r="J35" s="15"/>
      <c r="L35" s="26">
        <f>'TE BE'!$L$35*'TE BE'!$L$49</f>
        <v>0</v>
      </c>
      <c r="M35" s="26">
        <f>'TE BE'!$M$35*'TE BE'!$M$49</f>
        <v>0</v>
      </c>
      <c r="N35" s="26">
        <f>'TE BE'!$N$35*'TE BE'!$N$49</f>
        <v>0</v>
      </c>
      <c r="O35" s="26">
        <f>'TE BE'!$O$35*'TE BE'!$O$49</f>
        <v>0</v>
      </c>
      <c r="P35" s="26">
        <f>'TE BE'!$P$35*'TE BE'!$P$49</f>
        <v>0</v>
      </c>
      <c r="Q35" s="26">
        <f>SUM($L$35:$P$35)</f>
        <v>0</v>
      </c>
      <c r="R35" s="26">
        <f>'TE BE'!$R$35*'TE BE'!$R$49</f>
        <v>-0.62483558398714711</v>
      </c>
      <c r="S35" s="26">
        <f>SUM($R$35:$R$35)</f>
        <v>-0.62483558398714711</v>
      </c>
      <c r="T35" s="26">
        <f>'TE BE'!$T$35*'TE BE'!$T$49</f>
        <v>0</v>
      </c>
      <c r="U35" s="26">
        <f>'TE BE'!$U$35*'TE BE'!$U$49</f>
        <v>0</v>
      </c>
      <c r="V35" s="26">
        <f>'TE BE'!$V$35*'TE BE'!$V$49</f>
        <v>0</v>
      </c>
      <c r="W35" s="26">
        <f>SUM($T$35:$V$35)</f>
        <v>0</v>
      </c>
      <c r="X35" s="26">
        <f>'TE BE'!$AB$35*'TE BE'!$X$49</f>
        <v>-1.6978144056940898</v>
      </c>
      <c r="Y35" s="26">
        <f>SUM($X$35:$X$35)</f>
        <v>-1.6978144056940898</v>
      </c>
      <c r="Z35" s="26">
        <f>'TE BE'!$Z$35*'TE BE'!$Z$49</f>
        <v>0</v>
      </c>
      <c r="AA35" s="26">
        <f>SUM($Z$35:$Z$35)</f>
        <v>0</v>
      </c>
      <c r="AB35" s="26">
        <f>SUMIF($L$4:$AA$4,"SUBTOTAL",$L$35:$AA$35)</f>
        <v>-2.3226499896812367</v>
      </c>
    </row>
    <row r="36" spans="1:28" ht="11.25" customHeight="1" x14ac:dyDescent="0.25">
      <c r="A36" s="113" t="s">
        <v>37</v>
      </c>
      <c r="B36" s="113" t="s">
        <v>65</v>
      </c>
      <c r="C36" s="113" t="s">
        <v>25</v>
      </c>
      <c r="D36" s="113" t="s">
        <v>25</v>
      </c>
      <c r="E36" s="113" t="s">
        <v>25</v>
      </c>
      <c r="F36" s="113" t="s">
        <v>25</v>
      </c>
      <c r="G36" s="29" t="s">
        <v>67</v>
      </c>
      <c r="H36" s="29" t="s">
        <v>66</v>
      </c>
      <c r="I36" s="29">
        <f>'MERCADO TE'!$U$33</f>
        <v>0</v>
      </c>
      <c r="J36" s="15"/>
      <c r="L36" s="26">
        <f>'TE BE'!$L$36*'TE BE'!$L$49</f>
        <v>0</v>
      </c>
      <c r="M36" s="26">
        <f>'TE BE'!$M$36*'TE BE'!$M$49</f>
        <v>0</v>
      </c>
      <c r="N36" s="26">
        <f>'TE BE'!$N$36*'TE BE'!$N$49</f>
        <v>0</v>
      </c>
      <c r="O36" s="26">
        <f>'TE BE'!$O$36*'TE BE'!$O$49</f>
        <v>0</v>
      </c>
      <c r="P36" s="26">
        <f>'TE BE'!$P$36*'TE BE'!$P$49</f>
        <v>0</v>
      </c>
      <c r="Q36" s="26">
        <f>SUM($L$36:$P$36)</f>
        <v>0</v>
      </c>
      <c r="R36" s="26">
        <f>'TE BE'!$R$36*'TE BE'!$R$49</f>
        <v>-0.62483558398714711</v>
      </c>
      <c r="S36" s="26">
        <f>SUM($R$36:$R$36)</f>
        <v>-0.62483558398714711</v>
      </c>
      <c r="T36" s="26">
        <f>'TE BE'!$T$36*'TE BE'!$T$49</f>
        <v>0</v>
      </c>
      <c r="U36" s="26">
        <f>'TE BE'!$U$36*'TE BE'!$U$49</f>
        <v>0</v>
      </c>
      <c r="V36" s="26">
        <f>'TE BE'!$V$36*'TE BE'!$V$49</f>
        <v>0</v>
      </c>
      <c r="W36" s="26">
        <f>SUM($T$36:$V$36)</f>
        <v>0</v>
      </c>
      <c r="X36" s="26">
        <f>'TE BE'!$AB$36*'TE BE'!$X$49</f>
        <v>-1.6978144056940898</v>
      </c>
      <c r="Y36" s="26">
        <f>SUM($X$36:$X$36)</f>
        <v>-1.6978144056940898</v>
      </c>
      <c r="Z36" s="26">
        <f>'TE BE'!$Z$36*'TE BE'!$Z$49</f>
        <v>0</v>
      </c>
      <c r="AA36" s="26">
        <f>SUM($Z$36:$Z$36)</f>
        <v>0</v>
      </c>
      <c r="AB36" s="26">
        <f>SUMIF($L$4:$AA$4,"SUBTOTAL",$L$36:$AA$36)</f>
        <v>-2.3226499896812367</v>
      </c>
    </row>
    <row r="37" spans="1:28" ht="11.25" customHeight="1" x14ac:dyDescent="0.25">
      <c r="A37" s="113"/>
      <c r="B37" s="113"/>
      <c r="C37" s="113"/>
      <c r="D37" s="113"/>
      <c r="E37" s="113"/>
      <c r="F37" s="113"/>
      <c r="G37" s="29" t="s">
        <v>80</v>
      </c>
      <c r="H37" s="29" t="s">
        <v>66</v>
      </c>
      <c r="I37" s="29">
        <f>'MERCADO TE'!$U$34</f>
        <v>0</v>
      </c>
      <c r="J37" s="15"/>
      <c r="L37" s="26">
        <f>'TE BE'!$L$37*'TE BE'!$L$49</f>
        <v>0</v>
      </c>
      <c r="M37" s="26">
        <f>'TE BE'!$M$37*'TE BE'!$M$49</f>
        <v>0</v>
      </c>
      <c r="N37" s="26">
        <f>'TE BE'!$N$37*'TE BE'!$N$49</f>
        <v>0</v>
      </c>
      <c r="O37" s="26">
        <f>'TE BE'!$O$37*'TE BE'!$O$49</f>
        <v>0</v>
      </c>
      <c r="P37" s="26">
        <f>'TE BE'!$P$37*'TE BE'!$P$49</f>
        <v>0</v>
      </c>
      <c r="Q37" s="26">
        <f>SUM($L$37:$P$37)</f>
        <v>0</v>
      </c>
      <c r="R37" s="26">
        <f>'TE BE'!$R$37*'TE BE'!$R$49</f>
        <v>-0.62483558398714711</v>
      </c>
      <c r="S37" s="26">
        <f>SUM($R$37:$R$37)</f>
        <v>-0.62483558398714711</v>
      </c>
      <c r="T37" s="26">
        <f>'TE BE'!$T$37*'TE BE'!$T$49</f>
        <v>0</v>
      </c>
      <c r="U37" s="26">
        <f>'TE BE'!$U$37*'TE BE'!$U$49</f>
        <v>0</v>
      </c>
      <c r="V37" s="26">
        <f>'TE BE'!$V$37*'TE BE'!$V$49</f>
        <v>0</v>
      </c>
      <c r="W37" s="26">
        <f>SUM($T$37:$V$37)</f>
        <v>0</v>
      </c>
      <c r="X37" s="26">
        <f>'TE BE'!$AB$37*'TE BE'!$X$49</f>
        <v>-1.6978144056940898</v>
      </c>
      <c r="Y37" s="26">
        <f>SUM($X$37:$X$37)</f>
        <v>-1.6978144056940898</v>
      </c>
      <c r="Z37" s="26">
        <f>'TE BE'!$Z$37*'TE BE'!$Z$49</f>
        <v>0</v>
      </c>
      <c r="AA37" s="26">
        <f>SUM($Z$37:$Z$37)</f>
        <v>0</v>
      </c>
      <c r="AB37" s="26">
        <f>SUMIF($L$4:$AA$4,"SUBTOTAL",$L$37:$AA$37)</f>
        <v>-2.3226499896812367</v>
      </c>
    </row>
    <row r="38" spans="1:28" ht="11.25" customHeight="1" x14ac:dyDescent="0.25">
      <c r="A38" s="113"/>
      <c r="B38" s="113"/>
      <c r="C38" s="113"/>
      <c r="D38" s="113"/>
      <c r="E38" s="113"/>
      <c r="F38" s="113"/>
      <c r="G38" s="29" t="s">
        <v>68</v>
      </c>
      <c r="H38" s="29" t="s">
        <v>66</v>
      </c>
      <c r="I38" s="29">
        <f>'MERCADO TE'!$U$35</f>
        <v>0</v>
      </c>
      <c r="J38" s="15"/>
      <c r="L38" s="26">
        <f>'TE BE'!$L$38*'TE BE'!$L$49</f>
        <v>0</v>
      </c>
      <c r="M38" s="26">
        <f>'TE BE'!$M$38*'TE BE'!$M$49</f>
        <v>0</v>
      </c>
      <c r="N38" s="26">
        <f>'TE BE'!$N$38*'TE BE'!$N$49</f>
        <v>0</v>
      </c>
      <c r="O38" s="26">
        <f>'TE BE'!$O$38*'TE BE'!$O$49</f>
        <v>0</v>
      </c>
      <c r="P38" s="26">
        <f>'TE BE'!$P$38*'TE BE'!$P$49</f>
        <v>0</v>
      </c>
      <c r="Q38" s="26">
        <f>SUM($L$38:$P$38)</f>
        <v>0</v>
      </c>
      <c r="R38" s="26">
        <f>'TE BE'!$R$38*'TE BE'!$R$49</f>
        <v>-0.62483558398714711</v>
      </c>
      <c r="S38" s="26">
        <f>SUM($R$38:$R$38)</f>
        <v>-0.62483558398714711</v>
      </c>
      <c r="T38" s="26">
        <f>'TE BE'!$T$38*'TE BE'!$T$49</f>
        <v>0</v>
      </c>
      <c r="U38" s="26">
        <f>'TE BE'!$U$38*'TE BE'!$U$49</f>
        <v>0</v>
      </c>
      <c r="V38" s="26">
        <f>'TE BE'!$V$38*'TE BE'!$V$49</f>
        <v>0</v>
      </c>
      <c r="W38" s="26">
        <f>SUM($T$38:$V$38)</f>
        <v>0</v>
      </c>
      <c r="X38" s="26">
        <f>'TE BE'!$AB$38*'TE BE'!$X$49</f>
        <v>-1.6978144056940898</v>
      </c>
      <c r="Y38" s="26">
        <f>SUM($X$38:$X$38)</f>
        <v>-1.6978144056940898</v>
      </c>
      <c r="Z38" s="26">
        <f>'TE BE'!$Z$38*'TE BE'!$Z$49</f>
        <v>0</v>
      </c>
      <c r="AA38" s="26">
        <f>SUM($Z$38:$Z$38)</f>
        <v>0</v>
      </c>
      <c r="AB38" s="26">
        <f>SUMIF($L$4:$AA$4,"SUBTOTAL",$L$38:$AA$38)</f>
        <v>-2.3226499896812367</v>
      </c>
    </row>
    <row r="39" spans="1:28" ht="11.25" customHeight="1" x14ac:dyDescent="0.25">
      <c r="A39" s="113"/>
      <c r="B39" s="28" t="s">
        <v>69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66</v>
      </c>
      <c r="I39" s="29">
        <f>'MERCADO TE'!$U$36</f>
        <v>1464.15</v>
      </c>
      <c r="J39" s="15"/>
      <c r="L39" s="26">
        <f>'TE BE'!$L$39*'TE BE'!$L$49</f>
        <v>0</v>
      </c>
      <c r="M39" s="26">
        <f>'TE BE'!$M$39*'TE BE'!$M$49</f>
        <v>0</v>
      </c>
      <c r="N39" s="26">
        <f>'TE BE'!$N$39*'TE BE'!$N$49</f>
        <v>0</v>
      </c>
      <c r="O39" s="26">
        <f>'TE BE'!$O$39*'TE BE'!$O$49</f>
        <v>0</v>
      </c>
      <c r="P39" s="26">
        <f>'TE BE'!$P$39*'TE BE'!$P$49</f>
        <v>0</v>
      </c>
      <c r="Q39" s="26">
        <f>SUM($L$39:$P$39)</f>
        <v>0</v>
      </c>
      <c r="R39" s="26">
        <f>'TE BE'!$R$39*'TE BE'!$R$49</f>
        <v>-0.62483558398714711</v>
      </c>
      <c r="S39" s="26">
        <f>SUM($R$39:$R$39)</f>
        <v>-0.62483558398714711</v>
      </c>
      <c r="T39" s="26">
        <f>'TE BE'!$T$39*'TE BE'!$T$49</f>
        <v>0</v>
      </c>
      <c r="U39" s="26">
        <f>'TE BE'!$U$39*'TE BE'!$U$49</f>
        <v>0</v>
      </c>
      <c r="V39" s="26">
        <f>'TE BE'!$V$39*'TE BE'!$V$49</f>
        <v>0</v>
      </c>
      <c r="W39" s="26">
        <f>SUM($T$39:$V$39)</f>
        <v>0</v>
      </c>
      <c r="X39" s="26">
        <f>'TE BE'!$AB$39*'TE BE'!$X$49</f>
        <v>-1.6978144056940898</v>
      </c>
      <c r="Y39" s="26">
        <f>SUM($X$39:$X$39)</f>
        <v>-1.6978144056940898</v>
      </c>
      <c r="Z39" s="26">
        <f>'TE BE'!$Z$39*'TE BE'!$Z$49</f>
        <v>0</v>
      </c>
      <c r="AA39" s="26">
        <f>SUM($Z$39:$Z$39)</f>
        <v>0</v>
      </c>
      <c r="AB39" s="26">
        <f>SUMIF($L$4:$AA$4,"SUBTOTAL",$L$39:$AA$39)</f>
        <v>-2.3226499896812367</v>
      </c>
    </row>
    <row r="40" spans="1:28" ht="11.25" customHeight="1" x14ac:dyDescent="0.25">
      <c r="A40" s="113"/>
      <c r="B40" s="28" t="s">
        <v>81</v>
      </c>
      <c r="C40" s="28" t="s">
        <v>25</v>
      </c>
      <c r="D40" s="28" t="s">
        <v>25</v>
      </c>
      <c r="E40" s="28" t="s">
        <v>25</v>
      </c>
      <c r="F40" s="28" t="s">
        <v>25</v>
      </c>
      <c r="G40" s="29" t="s">
        <v>70</v>
      </c>
      <c r="H40" s="29" t="s">
        <v>66</v>
      </c>
      <c r="I40" s="29">
        <f>'MERCADO TE'!$U$37</f>
        <v>0</v>
      </c>
      <c r="J40" s="15"/>
      <c r="L40" s="26">
        <f>'TE BE'!$L$40*'TE BE'!$L$49</f>
        <v>0</v>
      </c>
      <c r="M40" s="26">
        <f>'TE BE'!$M$40*'TE BE'!$M$49</f>
        <v>0</v>
      </c>
      <c r="N40" s="26">
        <f>'TE BE'!$N$40*'TE BE'!$N$49</f>
        <v>0</v>
      </c>
      <c r="O40" s="26">
        <f>'TE BE'!$O$40*'TE BE'!$O$49</f>
        <v>0</v>
      </c>
      <c r="P40" s="26">
        <f>'TE BE'!$P$40*'TE BE'!$P$49</f>
        <v>0</v>
      </c>
      <c r="Q40" s="26">
        <f>SUM($L$40:$P$40)</f>
        <v>0</v>
      </c>
      <c r="R40" s="26">
        <f>'TE BE'!$R$40*'TE BE'!$R$49</f>
        <v>-0.62483558398714711</v>
      </c>
      <c r="S40" s="26">
        <f>SUM($R$40:$R$40)</f>
        <v>-0.62483558398714711</v>
      </c>
      <c r="T40" s="26">
        <f>'TE BE'!$T$40*'TE BE'!$T$49</f>
        <v>0</v>
      </c>
      <c r="U40" s="26">
        <f>'TE BE'!$U$40*'TE BE'!$U$49</f>
        <v>0</v>
      </c>
      <c r="V40" s="26">
        <f>'TE BE'!$V$40*'TE BE'!$V$49</f>
        <v>0</v>
      </c>
      <c r="W40" s="26">
        <f>SUM($T$40:$V$40)</f>
        <v>0</v>
      </c>
      <c r="X40" s="26">
        <f>'TE BE'!$AB$40*'TE BE'!$X$49</f>
        <v>-1.6978144056940898</v>
      </c>
      <c r="Y40" s="26">
        <f>SUM($X$40:$X$40)</f>
        <v>-1.6978144056940898</v>
      </c>
      <c r="Z40" s="26">
        <f>'TE BE'!$Z$40*'TE BE'!$Z$49</f>
        <v>0</v>
      </c>
      <c r="AA40" s="26">
        <f>SUM($Z$40:$Z$40)</f>
        <v>0</v>
      </c>
      <c r="AB40" s="26">
        <f>SUMIF($L$4:$AA$4,"SUBTOTAL",$L$40:$AA$40)</f>
        <v>-2.3226499896812367</v>
      </c>
    </row>
    <row r="41" spans="1:28" ht="11.25" customHeight="1" x14ac:dyDescent="0.25">
      <c r="A41" s="113" t="s">
        <v>44</v>
      </c>
      <c r="B41" s="113" t="s">
        <v>69</v>
      </c>
      <c r="C41" s="113" t="s">
        <v>45</v>
      </c>
      <c r="D41" s="28" t="s">
        <v>46</v>
      </c>
      <c r="E41" s="28" t="s">
        <v>25</v>
      </c>
      <c r="F41" s="28" t="s">
        <v>25</v>
      </c>
      <c r="G41" s="29" t="s">
        <v>70</v>
      </c>
      <c r="H41" s="29" t="s">
        <v>66</v>
      </c>
      <c r="I41" s="29">
        <f>'MERCADO TE'!$U$38</f>
        <v>491.28100000000001</v>
      </c>
      <c r="J41" s="15"/>
      <c r="L41" s="26">
        <f>'TE BE'!$L$41*'TE BE'!$L$49</f>
        <v>0</v>
      </c>
      <c r="M41" s="26">
        <f>'TE BE'!$M$41*'TE BE'!$M$49</f>
        <v>0</v>
      </c>
      <c r="N41" s="26">
        <f>'TE BE'!$N$41*'TE BE'!$N$49</f>
        <v>0</v>
      </c>
      <c r="O41" s="26">
        <f>'TE BE'!$O$41*'TE BE'!$O$49</f>
        <v>0</v>
      </c>
      <c r="P41" s="26">
        <f>'TE BE'!$P$41*'TE BE'!$P$49</f>
        <v>0</v>
      </c>
      <c r="Q41" s="26">
        <f>SUM($L$41:$P$41)</f>
        <v>0</v>
      </c>
      <c r="R41" s="26">
        <f>'TE BE'!$R$41*'TE BE'!$R$49</f>
        <v>-0.34365957119293095</v>
      </c>
      <c r="S41" s="26">
        <f>SUM($R$41:$R$41)</f>
        <v>-0.34365957119293095</v>
      </c>
      <c r="T41" s="26">
        <f>'TE BE'!$T$41*'TE BE'!$T$49</f>
        <v>0</v>
      </c>
      <c r="U41" s="26">
        <f>'TE BE'!$U$41*'TE BE'!$U$49</f>
        <v>0</v>
      </c>
      <c r="V41" s="26">
        <f>'TE BE'!$V$41*'TE BE'!$V$49</f>
        <v>0</v>
      </c>
      <c r="W41" s="26">
        <f>SUM($T$41:$V$41)</f>
        <v>0</v>
      </c>
      <c r="X41" s="26">
        <f>'TE BE'!$AB$41*'TE BE'!$X$49</f>
        <v>-0.93379792313174947</v>
      </c>
      <c r="Y41" s="26">
        <f>SUM($X$41:$X$41)</f>
        <v>-0.93379792313174947</v>
      </c>
      <c r="Z41" s="26">
        <f>'TE BE'!$Z$41*'TE BE'!$Z$49</f>
        <v>0</v>
      </c>
      <c r="AA41" s="26">
        <f>SUM($Z$41:$Z$41)</f>
        <v>0</v>
      </c>
      <c r="AB41" s="26">
        <f>SUMIF($L$4:$AA$4,"SUBTOTAL",$L$41:$AA$41)</f>
        <v>-1.2774574943246804</v>
      </c>
    </row>
    <row r="42" spans="1:28" ht="11.25" customHeight="1" x14ac:dyDescent="0.25">
      <c r="A42" s="113"/>
      <c r="B42" s="113"/>
      <c r="C42" s="113"/>
      <c r="D42" s="29" t="s">
        <v>85</v>
      </c>
      <c r="E42" s="29" t="s">
        <v>25</v>
      </c>
      <c r="F42" s="29" t="s">
        <v>25</v>
      </c>
      <c r="G42" s="29" t="s">
        <v>70</v>
      </c>
      <c r="H42" s="29" t="s">
        <v>66</v>
      </c>
      <c r="I42" s="29">
        <f>'MERCADO TE'!$U$39</f>
        <v>0</v>
      </c>
      <c r="J42" s="15"/>
      <c r="L42" s="26">
        <f>'TE BE'!$L$42*'TE BE'!$L$49</f>
        <v>0</v>
      </c>
      <c r="M42" s="26">
        <f>'TE BE'!$M$42*'TE BE'!$M$49</f>
        <v>0</v>
      </c>
      <c r="N42" s="26">
        <f>'TE BE'!$N$42*'TE BE'!$N$49</f>
        <v>0</v>
      </c>
      <c r="O42" s="26">
        <f>'TE BE'!$O$42*'TE BE'!$O$49</f>
        <v>0</v>
      </c>
      <c r="P42" s="26">
        <f>'TE BE'!$P$42*'TE BE'!$P$49</f>
        <v>0</v>
      </c>
      <c r="Q42" s="26">
        <f>SUM($L$42:$P$42)</f>
        <v>0</v>
      </c>
      <c r="R42" s="26">
        <f>'TE BE'!$R$42*'TE BE'!$R$49</f>
        <v>-0.37490135039228828</v>
      </c>
      <c r="S42" s="26">
        <f>SUM($R$42:$R$42)</f>
        <v>-0.37490135039228828</v>
      </c>
      <c r="T42" s="26">
        <f>'TE BE'!$T$42*'TE BE'!$T$49</f>
        <v>0</v>
      </c>
      <c r="U42" s="26">
        <f>'TE BE'!$U$42*'TE BE'!$U$49</f>
        <v>0</v>
      </c>
      <c r="V42" s="26">
        <f>'TE BE'!$V$42*'TE BE'!$V$49</f>
        <v>0</v>
      </c>
      <c r="W42" s="26">
        <f>SUM($T$42:$V$42)</f>
        <v>0</v>
      </c>
      <c r="X42" s="26">
        <f>'TE BE'!$AB$42*'TE BE'!$X$49</f>
        <v>-1.0186886434164537</v>
      </c>
      <c r="Y42" s="26">
        <f>SUM($X$42:$X$42)</f>
        <v>-1.0186886434164537</v>
      </c>
      <c r="Z42" s="26">
        <f>'TE BE'!$Z$42*'TE BE'!$Z$49</f>
        <v>0</v>
      </c>
      <c r="AA42" s="26">
        <f>SUM($Z$42:$Z$42)</f>
        <v>0</v>
      </c>
      <c r="AB42" s="26">
        <f>SUMIF($L$4:$AA$4,"SUBTOTAL",$L$42:$AA$42)</f>
        <v>-1.3935899938087419</v>
      </c>
    </row>
    <row r="44" spans="1:28" ht="11.25" customHeight="1" x14ac:dyDescent="0.25">
      <c r="K44" s="31" t="s">
        <v>522</v>
      </c>
      <c r="L44" s="26">
        <f t="shared" ref="L44:AB44" si="0">SUMPRODUCT($I$5:$I$42,L$5:L$42)</f>
        <v>0</v>
      </c>
      <c r="M44" s="26">
        <f t="shared" si="0"/>
        <v>0</v>
      </c>
      <c r="N44" s="26">
        <f t="shared" si="0"/>
        <v>0</v>
      </c>
      <c r="O44" s="26">
        <f t="shared" si="0"/>
        <v>0</v>
      </c>
      <c r="P44" s="26">
        <f t="shared" si="0"/>
        <v>0</v>
      </c>
      <c r="Q44" s="26">
        <f t="shared" si="0"/>
        <v>0</v>
      </c>
      <c r="R44" s="26">
        <f t="shared" si="0"/>
        <v>-10094.838415035667</v>
      </c>
      <c r="S44" s="26">
        <f t="shared" si="0"/>
        <v>-10094.838415035667</v>
      </c>
      <c r="T44" s="26">
        <f t="shared" si="0"/>
        <v>0</v>
      </c>
      <c r="U44" s="26">
        <f t="shared" si="0"/>
        <v>0</v>
      </c>
      <c r="V44" s="26">
        <f t="shared" si="0"/>
        <v>0</v>
      </c>
      <c r="W44" s="26">
        <f t="shared" si="0"/>
        <v>0</v>
      </c>
      <c r="X44" s="26">
        <f t="shared" si="0"/>
        <v>-27429.875191861986</v>
      </c>
      <c r="Y44" s="26">
        <f t="shared" si="0"/>
        <v>-27429.875191861986</v>
      </c>
      <c r="Z44" s="26">
        <f t="shared" si="0"/>
        <v>0</v>
      </c>
      <c r="AA44" s="26">
        <f t="shared" si="0"/>
        <v>0</v>
      </c>
      <c r="AB44" s="26">
        <f t="shared" si="0"/>
        <v>-37524.713606897654</v>
      </c>
    </row>
    <row r="45" spans="1:28" ht="11.25" customHeight="1" x14ac:dyDescent="0.25">
      <c r="K45" s="31" t="s">
        <v>441</v>
      </c>
      <c r="L45" s="26">
        <f>CUSTOS!$D$30</f>
        <v>0</v>
      </c>
      <c r="M45" s="26">
        <f>CUSTOS!$D$31</f>
        <v>0</v>
      </c>
      <c r="N45" s="26">
        <f>CUSTOS!$D$32</f>
        <v>0</v>
      </c>
      <c r="O45" s="26">
        <f>CUSTOS!$D$33</f>
        <v>0</v>
      </c>
      <c r="P45" s="26">
        <f>CUSTOS!$D$34</f>
        <v>0</v>
      </c>
      <c r="Q45" s="26">
        <f>CUSTOS!$D$35</f>
        <v>0</v>
      </c>
      <c r="R45" s="26">
        <f>CUSTOS!$D$36</f>
        <v>1918542.2137533133</v>
      </c>
      <c r="S45" s="26">
        <f>CUSTOS!$D$37</f>
        <v>1918542.2137533133</v>
      </c>
      <c r="T45" s="26">
        <f>CUSTOS!$D$38</f>
        <v>0</v>
      </c>
      <c r="U45" s="26">
        <f>CUSTOS!$D$39</f>
        <v>0</v>
      </c>
      <c r="V45" s="26">
        <f>CUSTOS!$D$40</f>
        <v>0</v>
      </c>
      <c r="W45" s="26">
        <f>CUSTOS!$D$41</f>
        <v>0</v>
      </c>
      <c r="X45" s="26">
        <f>CUSTOS!$D$42</f>
        <v>0</v>
      </c>
      <c r="Y45" s="26">
        <f>CUSTOS!$D$43</f>
        <v>0</v>
      </c>
      <c r="Z45" s="26">
        <f>CUSTOS!$D$44</f>
        <v>0</v>
      </c>
      <c r="AA45" s="26">
        <f>CUSTOS!$D$45</f>
        <v>0</v>
      </c>
      <c r="AB45" s="26">
        <f>CUSTOS!$D$46</f>
        <v>1918542.2137533133</v>
      </c>
    </row>
    <row r="46" spans="1:28" ht="11.25" customHeight="1" x14ac:dyDescent="0.25">
      <c r="K46" s="31" t="s">
        <v>442</v>
      </c>
      <c r="L46" s="26">
        <f>CUSTOS!$E$30</f>
        <v>0</v>
      </c>
      <c r="M46" s="26">
        <f>CUSTOS!$E$31</f>
        <v>0</v>
      </c>
      <c r="N46" s="26">
        <f>CUSTOS!$E$32</f>
        <v>0</v>
      </c>
      <c r="O46" s="26">
        <f>CUSTOS!$E$33</f>
        <v>0</v>
      </c>
      <c r="P46" s="26">
        <f>CUSTOS!$E$34</f>
        <v>0</v>
      </c>
      <c r="Q46" s="26">
        <f>CUSTOS!$E$35</f>
        <v>0</v>
      </c>
      <c r="R46" s="26">
        <f>CUSTOS!$E$36</f>
        <v>-10094.838415035665</v>
      </c>
      <c r="S46" s="26">
        <f>CUSTOS!$E$37</f>
        <v>-10094.838415035665</v>
      </c>
      <c r="T46" s="26">
        <f>CUSTOS!$E$38</f>
        <v>0</v>
      </c>
      <c r="U46" s="26">
        <f>CUSTOS!$E$39</f>
        <v>0</v>
      </c>
      <c r="V46" s="26">
        <f>CUSTOS!$E$40</f>
        <v>0</v>
      </c>
      <c r="W46" s="26">
        <f>CUSTOS!$E$41</f>
        <v>0</v>
      </c>
      <c r="X46" s="26">
        <f>CUSTOS!$E$42</f>
        <v>-27429.875191861989</v>
      </c>
      <c r="Y46" s="26">
        <f>CUSTOS!$E$43</f>
        <v>-27429.875191861989</v>
      </c>
      <c r="Z46" s="26">
        <f>CUSTOS!$E$44</f>
        <v>0</v>
      </c>
      <c r="AA46" s="26">
        <f>CUSTOS!$E$45</f>
        <v>0</v>
      </c>
      <c r="AB46" s="26">
        <f>CUSTOS!$E$46</f>
        <v>-37524.713606897654</v>
      </c>
    </row>
    <row r="47" spans="1:28" ht="11.25" customHeight="1" x14ac:dyDescent="0.25">
      <c r="K47" s="31" t="s">
        <v>443</v>
      </c>
      <c r="L47" s="26">
        <f>CUSTOS!$F$30</f>
        <v>0</v>
      </c>
      <c r="M47" s="26">
        <f>CUSTOS!$F$31</f>
        <v>0</v>
      </c>
      <c r="N47" s="26">
        <f>CUSTOS!$F$32</f>
        <v>0</v>
      </c>
      <c r="O47" s="26">
        <f>CUSTOS!$F$33</f>
        <v>0</v>
      </c>
      <c r="P47" s="26">
        <f>CUSTOS!$F$34</f>
        <v>0</v>
      </c>
      <c r="Q47" s="26">
        <f>CUSTOS!$F$35</f>
        <v>0</v>
      </c>
      <c r="R47" s="26">
        <f>CUSTOS!$F$36</f>
        <v>0</v>
      </c>
      <c r="S47" s="26">
        <f>CUSTOS!$F$37</f>
        <v>0</v>
      </c>
      <c r="T47" s="26">
        <f>CUSTOS!$F$38</f>
        <v>0</v>
      </c>
      <c r="U47" s="26">
        <f>CUSTOS!$F$39</f>
        <v>0</v>
      </c>
      <c r="V47" s="26">
        <f>CUSTOS!$F$40</f>
        <v>0</v>
      </c>
      <c r="W47" s="26">
        <f>CUSTOS!$F$41</f>
        <v>0</v>
      </c>
      <c r="X47" s="26">
        <f>CUSTOS!$F$42</f>
        <v>0</v>
      </c>
      <c r="Y47" s="26">
        <f>CUSTOS!$F$43</f>
        <v>0</v>
      </c>
      <c r="Z47" s="26">
        <f>CUSTOS!$F$44</f>
        <v>0</v>
      </c>
      <c r="AA47" s="26">
        <f>CUSTOS!$F$45</f>
        <v>0</v>
      </c>
      <c r="AB47" s="26">
        <f>CUSTOS!$F$46</f>
        <v>0</v>
      </c>
    </row>
    <row r="48" spans="1:28" ht="11.25" customHeight="1" x14ac:dyDescent="0.25">
      <c r="K48" s="31" t="s">
        <v>523</v>
      </c>
      <c r="L48" s="26">
        <f>'TR TE'!$L$48*L49</f>
        <v>0</v>
      </c>
      <c r="M48" s="26">
        <f>'TR TE'!$M$48*M49</f>
        <v>0</v>
      </c>
      <c r="N48" s="26">
        <f>'TR TE'!$N$48*N49</f>
        <v>0</v>
      </c>
      <c r="O48" s="26">
        <f>'TR TE'!$O$48*O49</f>
        <v>0</v>
      </c>
      <c r="P48" s="26">
        <f>'TR TE'!$P$48*P49</f>
        <v>0</v>
      </c>
      <c r="Q48" s="26"/>
      <c r="R48" s="26">
        <f>'TR TE'!$R$48*R49</f>
        <v>0</v>
      </c>
      <c r="S48" s="26"/>
      <c r="T48" s="26">
        <f>'TR TE'!$T$48*T49</f>
        <v>0</v>
      </c>
      <c r="U48" s="26">
        <f>'TR TE'!$U$48*U49</f>
        <v>0</v>
      </c>
      <c r="V48" s="26">
        <f>'TR TE'!$V$48*V49</f>
        <v>0</v>
      </c>
      <c r="W48" s="26"/>
      <c r="X48" s="26"/>
      <c r="Y48" s="26"/>
      <c r="Z48" s="26">
        <f>'TR TE'!$Z$48*Z49</f>
        <v>0</v>
      </c>
      <c r="AA48" s="26"/>
      <c r="AB48" s="26"/>
    </row>
    <row r="49" spans="11:28" ht="11.25" customHeight="1" x14ac:dyDescent="0.25">
      <c r="K49" s="31" t="s">
        <v>518</v>
      </c>
      <c r="L49" s="26">
        <f>IF(L45&lt;&gt;0,L47/L45,0)</f>
        <v>0</v>
      </c>
      <c r="M49" s="26">
        <f>IF(M45&lt;&gt;0,M47/M45,0)</f>
        <v>0</v>
      </c>
      <c r="N49" s="26">
        <f>IF(N45&lt;&gt;0,N47/N45,0)</f>
        <v>0</v>
      </c>
      <c r="O49" s="26">
        <f>IF(O45&lt;&gt;0,O47/O45,0)</f>
        <v>0</v>
      </c>
      <c r="P49" s="26">
        <f>IF(P45&lt;&gt;0,P47/P45,0)</f>
        <v>0</v>
      </c>
      <c r="Q49" s="26"/>
      <c r="R49" s="26">
        <f>IF(R45&lt;&gt;0,R47/R45,0)</f>
        <v>0</v>
      </c>
      <c r="S49" s="26"/>
      <c r="T49" s="26">
        <f>IF(T45&lt;&gt;0,T47/T45,0)</f>
        <v>0</v>
      </c>
      <c r="U49" s="26">
        <f>IF(U45&lt;&gt;0,U47/U45,0)</f>
        <v>0</v>
      </c>
      <c r="V49" s="26">
        <f>IF(V45&lt;&gt;0,V47/V45,0)</f>
        <v>0</v>
      </c>
      <c r="W49" s="26"/>
      <c r="X49" s="26">
        <f>IF($AB45&lt;&gt;0,X47/($AB45-SUM('TR TE'!$L48:'TR TE'!$AA48)*0),0)</f>
        <v>0</v>
      </c>
      <c r="Y49" s="26"/>
      <c r="Z49" s="26">
        <f>IF(Z45&lt;&gt;0,Z47/Z45,0)</f>
        <v>0</v>
      </c>
      <c r="AA49" s="26"/>
      <c r="AB49" s="26"/>
    </row>
    <row r="50" spans="11:28" ht="11.25" customHeight="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8:F10"/>
    <mergeCell ref="B11:B15"/>
    <mergeCell ref="C11:C15"/>
    <mergeCell ref="B16:B20"/>
    <mergeCell ref="C16:C20"/>
    <mergeCell ref="A8:A20"/>
    <mergeCell ref="B8:B10"/>
    <mergeCell ref="C8:C10"/>
    <mergeCell ref="D8:D10"/>
    <mergeCell ref="E8:E10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E36:E38"/>
    <mergeCell ref="F36:F38"/>
    <mergeCell ref="A41:A42"/>
    <mergeCell ref="B41:B42"/>
    <mergeCell ref="C41:C42"/>
    <mergeCell ref="D36:D38"/>
  </mergeCells>
  <conditionalFormatting sqref="L44">
    <cfRule type="cellIs" dxfId="552" priority="33" operator="notEqual">
      <formula>$L$46</formula>
    </cfRule>
    <cfRule type="cellIs" dxfId="551" priority="34" operator="equal">
      <formula>$L$46</formula>
    </cfRule>
  </conditionalFormatting>
  <conditionalFormatting sqref="M44">
    <cfRule type="cellIs" dxfId="550" priority="31" operator="notEqual">
      <formula>$M$46</formula>
    </cfRule>
    <cfRule type="cellIs" dxfId="549" priority="32" operator="equal">
      <formula>$M$46</formula>
    </cfRule>
  </conditionalFormatting>
  <conditionalFormatting sqref="N44">
    <cfRule type="cellIs" dxfId="548" priority="29" operator="notEqual">
      <formula>$N$46</formula>
    </cfRule>
    <cfRule type="cellIs" dxfId="547" priority="30" operator="equal">
      <formula>$N$46</formula>
    </cfRule>
  </conditionalFormatting>
  <conditionalFormatting sqref="O44">
    <cfRule type="cellIs" dxfId="546" priority="27" operator="notEqual">
      <formula>$O$46</formula>
    </cfRule>
    <cfRule type="cellIs" dxfId="545" priority="28" operator="equal">
      <formula>$O$46</formula>
    </cfRule>
  </conditionalFormatting>
  <conditionalFormatting sqref="P44">
    <cfRule type="cellIs" dxfId="544" priority="25" operator="notEqual">
      <formula>$P$46</formula>
    </cfRule>
    <cfRule type="cellIs" dxfId="543" priority="26" operator="equal">
      <formula>$P$46</formula>
    </cfRule>
  </conditionalFormatting>
  <conditionalFormatting sqref="Q44">
    <cfRule type="cellIs" dxfId="542" priority="23" operator="notEqual">
      <formula>$Q$46</formula>
    </cfRule>
    <cfRule type="cellIs" dxfId="541" priority="24" operator="equal">
      <formula>$Q$46</formula>
    </cfRule>
  </conditionalFormatting>
  <conditionalFormatting sqref="R44">
    <cfRule type="cellIs" dxfId="540" priority="21" operator="notEqual">
      <formula>$R$46</formula>
    </cfRule>
    <cfRule type="cellIs" dxfId="539" priority="22" operator="equal">
      <formula>$R$46</formula>
    </cfRule>
  </conditionalFormatting>
  <conditionalFormatting sqref="S44">
    <cfRule type="cellIs" dxfId="538" priority="19" operator="notEqual">
      <formula>$S$46</formula>
    </cfRule>
    <cfRule type="cellIs" dxfId="537" priority="20" operator="equal">
      <formula>$S$46</formula>
    </cfRule>
  </conditionalFormatting>
  <conditionalFormatting sqref="T44">
    <cfRule type="cellIs" dxfId="536" priority="17" operator="notEqual">
      <formula>$T$46</formula>
    </cfRule>
    <cfRule type="cellIs" dxfId="535" priority="18" operator="equal">
      <formula>$T$46</formula>
    </cfRule>
  </conditionalFormatting>
  <conditionalFormatting sqref="U44">
    <cfRule type="cellIs" dxfId="534" priority="15" operator="notEqual">
      <formula>$U$46</formula>
    </cfRule>
    <cfRule type="cellIs" dxfId="533" priority="16" operator="equal">
      <formula>$U$46</formula>
    </cfRule>
  </conditionalFormatting>
  <conditionalFormatting sqref="V44">
    <cfRule type="cellIs" dxfId="532" priority="13" operator="notEqual">
      <formula>$V$46</formula>
    </cfRule>
    <cfRule type="cellIs" dxfId="531" priority="14" operator="equal">
      <formula>$V$46</formula>
    </cfRule>
  </conditionalFormatting>
  <conditionalFormatting sqref="W44">
    <cfRule type="cellIs" dxfId="530" priority="11" operator="notEqual">
      <formula>$W$46</formula>
    </cfRule>
    <cfRule type="cellIs" dxfId="529" priority="12" operator="equal">
      <formula>$W$46</formula>
    </cfRule>
  </conditionalFormatting>
  <conditionalFormatting sqref="X44">
    <cfRule type="cellIs" dxfId="528" priority="9" operator="notEqual">
      <formula>$X$46</formula>
    </cfRule>
    <cfRule type="cellIs" dxfId="527" priority="10" operator="equal">
      <formula>$X$46</formula>
    </cfRule>
  </conditionalFormatting>
  <conditionalFormatting sqref="Y44">
    <cfRule type="cellIs" dxfId="526" priority="7" operator="notEqual">
      <formula>$Y$46</formula>
    </cfRule>
    <cfRule type="cellIs" dxfId="525" priority="8" operator="equal">
      <formula>$Y$46</formula>
    </cfRule>
  </conditionalFormatting>
  <conditionalFormatting sqref="Z44">
    <cfRule type="cellIs" dxfId="524" priority="5" operator="notEqual">
      <formula>$Z$46</formula>
    </cfRule>
    <cfRule type="cellIs" dxfId="523" priority="6" operator="equal">
      <formula>$Z$46</formula>
    </cfRule>
  </conditionalFormatting>
  <conditionalFormatting sqref="AA44">
    <cfRule type="cellIs" dxfId="522" priority="3" operator="notEqual">
      <formula>$AA$46</formula>
    </cfRule>
    <cfRule type="cellIs" dxfId="521" priority="4" operator="equal">
      <formula>$AA$46</formula>
    </cfRule>
  </conditionalFormatting>
  <conditionalFormatting sqref="AB44">
    <cfRule type="cellIs" dxfId="520" priority="1" operator="notEqual">
      <formula>$AB$46</formula>
    </cfRule>
    <cfRule type="cellIs" dxfId="519" priority="2" operator="equal">
      <formula>$AB$46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3ABC-5DC8-4874-8215-884C8049763F}">
  <dimension ref="A1:AB50"/>
  <sheetViews>
    <sheetView showGridLines="0" topLeftCell="L1" workbookViewId="0">
      <selection activeCell="AB44" sqref="AB4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4" width="7.85546875" style="9" bestFit="1" customWidth="1"/>
    <col min="15" max="15" width="11.140625" style="9" bestFit="1" customWidth="1"/>
    <col min="16" max="16" width="8.140625" style="9" bestFit="1" customWidth="1"/>
    <col min="17" max="17" width="9.28515625" style="9" bestFit="1" customWidth="1"/>
    <col min="18" max="18" width="15" style="9" bestFit="1" customWidth="1"/>
    <col min="19" max="19" width="10" style="9" bestFit="1" customWidth="1"/>
    <col min="20" max="20" width="7.85546875" style="9" bestFit="1" customWidth="1"/>
    <col min="21" max="21" width="10.42578125" style="9" bestFit="1" customWidth="1"/>
    <col min="22" max="22" width="7.85546875" style="9" bestFit="1" customWidth="1"/>
    <col min="23" max="23" width="9.28515625" style="9" bestFit="1" customWidth="1"/>
    <col min="24" max="24" width="8.42578125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112" t="s">
        <v>56</v>
      </c>
      <c r="B1" s="112" t="s">
        <v>57</v>
      </c>
      <c r="C1" s="112" t="s">
        <v>58</v>
      </c>
      <c r="D1" s="112" t="s">
        <v>59</v>
      </c>
      <c r="E1" s="112" t="s">
        <v>60</v>
      </c>
      <c r="F1" s="112" t="s">
        <v>15</v>
      </c>
      <c r="G1" s="112" t="s">
        <v>62</v>
      </c>
      <c r="H1" s="112" t="s">
        <v>63</v>
      </c>
      <c r="I1" s="112" t="s">
        <v>500</v>
      </c>
      <c r="J1" s="95"/>
      <c r="L1" s="110" t="s">
        <v>528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</row>
    <row r="2" spans="1:28" ht="11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95"/>
      <c r="L2" s="110" t="s">
        <v>427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</row>
    <row r="3" spans="1:28" ht="11.2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95"/>
      <c r="L3" s="110" t="s">
        <v>400</v>
      </c>
      <c r="M3" s="110"/>
      <c r="N3" s="110"/>
      <c r="O3" s="110"/>
      <c r="P3" s="110"/>
      <c r="Q3" s="110"/>
      <c r="R3" s="110" t="s">
        <v>431</v>
      </c>
      <c r="S3" s="110"/>
      <c r="T3" s="110" t="s">
        <v>409</v>
      </c>
      <c r="U3" s="110"/>
      <c r="V3" s="110"/>
      <c r="W3" s="110"/>
      <c r="X3" s="110" t="s">
        <v>419</v>
      </c>
      <c r="Y3" s="110"/>
      <c r="Z3" s="110" t="s">
        <v>422</v>
      </c>
      <c r="AA3" s="110"/>
      <c r="AB3" s="110" t="s">
        <v>408</v>
      </c>
    </row>
    <row r="4" spans="1:28" ht="11.2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95"/>
      <c r="L4" s="30" t="s">
        <v>402</v>
      </c>
      <c r="M4" s="30" t="s">
        <v>428</v>
      </c>
      <c r="N4" s="30" t="s">
        <v>429</v>
      </c>
      <c r="O4" s="30" t="s">
        <v>488</v>
      </c>
      <c r="P4" s="30" t="s">
        <v>430</v>
      </c>
      <c r="Q4" s="30" t="s">
        <v>408</v>
      </c>
      <c r="R4" s="30" t="s">
        <v>432</v>
      </c>
      <c r="S4" s="30" t="s">
        <v>408</v>
      </c>
      <c r="T4" s="30" t="s">
        <v>433</v>
      </c>
      <c r="U4" s="30" t="s">
        <v>434</v>
      </c>
      <c r="V4" s="30" t="s">
        <v>435</v>
      </c>
      <c r="W4" s="30" t="s">
        <v>408</v>
      </c>
      <c r="X4" s="30" t="s">
        <v>420</v>
      </c>
      <c r="Y4" s="30" t="s">
        <v>408</v>
      </c>
      <c r="Z4" s="30" t="s">
        <v>436</v>
      </c>
      <c r="AA4" s="30" t="s">
        <v>408</v>
      </c>
      <c r="AB4" s="111"/>
    </row>
    <row r="5" spans="1:28" ht="11.25" customHeight="1" x14ac:dyDescent="0.25">
      <c r="A5" s="113" t="s">
        <v>39</v>
      </c>
      <c r="B5" s="113" t="s">
        <v>65</v>
      </c>
      <c r="C5" s="113" t="s">
        <v>25</v>
      </c>
      <c r="D5" s="113" t="s">
        <v>25</v>
      </c>
      <c r="E5" s="113" t="s">
        <v>25</v>
      </c>
      <c r="F5" s="113" t="s">
        <v>25</v>
      </c>
      <c r="G5" s="29" t="s">
        <v>67</v>
      </c>
      <c r="H5" s="29" t="s">
        <v>66</v>
      </c>
      <c r="I5" s="29">
        <f>'MERCADO TE'!$U$2</f>
        <v>60.844000000000008</v>
      </c>
      <c r="J5" s="15"/>
      <c r="L5" s="26">
        <f>'TE BE'!$L$5*'TE BF'!$L$49</f>
        <v>0</v>
      </c>
      <c r="M5" s="26">
        <f>'TE BE'!$M$5*'TE BF'!$M$49</f>
        <v>0</v>
      </c>
      <c r="N5" s="26">
        <f>'TE BE'!$N$5*'TE BF'!$N$49</f>
        <v>0</v>
      </c>
      <c r="O5" s="26">
        <f>'TE BE'!$O$5*'TE BF'!$O$49</f>
        <v>0</v>
      </c>
      <c r="P5" s="26">
        <f>'TE BE'!$P$5*'TE BF'!$P$49</f>
        <v>0</v>
      </c>
      <c r="Q5" s="26">
        <f>SUM($L$5:$P$5)</f>
        <v>0</v>
      </c>
      <c r="R5" s="26">
        <f>'TE BE'!$R$5*'TE BF'!$R$49</f>
        <v>0</v>
      </c>
      <c r="S5" s="26">
        <f>SUM($R$5:$R$5)</f>
        <v>0</v>
      </c>
      <c r="T5" s="26">
        <f>'TE BE'!$T$5*'TE BF'!$T$49</f>
        <v>0</v>
      </c>
      <c r="U5" s="26">
        <f>'TE BE'!$U$5*'TE BF'!$U$49</f>
        <v>0</v>
      </c>
      <c r="V5" s="26">
        <f>'TE BE'!$V$5*'TE BF'!$V$49</f>
        <v>0</v>
      </c>
      <c r="W5" s="26">
        <f>SUM($T$5:$V$5)</f>
        <v>0</v>
      </c>
      <c r="X5" s="26">
        <f>'TE BE'!$AB$5*'TE BF'!$X$49</f>
        <v>0</v>
      </c>
      <c r="Y5" s="26">
        <f>SUM($X$5:$X$5)</f>
        <v>0</v>
      </c>
      <c r="Z5" s="26">
        <f>'TE BE'!$Z$5*'TE BF'!$Z$49</f>
        <v>0</v>
      </c>
      <c r="AA5" s="26">
        <f>SUM($Z$5:$Z$5)</f>
        <v>0</v>
      </c>
      <c r="AB5" s="26">
        <f>SUMIF($L$4:$AA$4,"SUBTOTAL",$L$5:$AA$5)</f>
        <v>0</v>
      </c>
    </row>
    <row r="6" spans="1:28" ht="11.25" customHeight="1" x14ac:dyDescent="0.25">
      <c r="A6" s="113"/>
      <c r="B6" s="113"/>
      <c r="C6" s="113"/>
      <c r="D6" s="113"/>
      <c r="E6" s="113"/>
      <c r="F6" s="113"/>
      <c r="G6" s="29" t="s">
        <v>68</v>
      </c>
      <c r="H6" s="29" t="s">
        <v>66</v>
      </c>
      <c r="I6" s="29">
        <f>'MERCADO TE'!$U$3</f>
        <v>1244.3510000000001</v>
      </c>
      <c r="J6" s="15"/>
      <c r="L6" s="26">
        <f>'TE BE'!$L$6*'TE BF'!$L$49</f>
        <v>0</v>
      </c>
      <c r="M6" s="26">
        <f>'TE BE'!$M$6*'TE BF'!$M$49</f>
        <v>0</v>
      </c>
      <c r="N6" s="26">
        <f>'TE BE'!$N$6*'TE BF'!$N$49</f>
        <v>0</v>
      </c>
      <c r="O6" s="26">
        <f>'TE BE'!$O$6*'TE BF'!$O$49</f>
        <v>0</v>
      </c>
      <c r="P6" s="26">
        <f>'TE BE'!$P$6*'TE BF'!$P$49</f>
        <v>0</v>
      </c>
      <c r="Q6" s="26">
        <f>SUM($L$6:$P$6)</f>
        <v>0</v>
      </c>
      <c r="R6" s="26">
        <f>'TE BE'!$R$6*'TE BF'!$R$49</f>
        <v>0</v>
      </c>
      <c r="S6" s="26">
        <f>SUM($R$6:$R$6)</f>
        <v>0</v>
      </c>
      <c r="T6" s="26">
        <f>'TE BE'!$T$6*'TE BF'!$T$49</f>
        <v>0</v>
      </c>
      <c r="U6" s="26">
        <f>'TE BE'!$U$6*'TE BF'!$U$49</f>
        <v>0</v>
      </c>
      <c r="V6" s="26">
        <f>'TE BE'!$V$6*'TE BF'!$V$49</f>
        <v>0</v>
      </c>
      <c r="W6" s="26">
        <f>SUM($T$6:$V$6)</f>
        <v>0</v>
      </c>
      <c r="X6" s="26">
        <f>'TE BE'!$AB$6*'TE BF'!$X$49</f>
        <v>0</v>
      </c>
      <c r="Y6" s="26">
        <f>SUM($X$6:$X$6)</f>
        <v>0</v>
      </c>
      <c r="Z6" s="26">
        <f>'TE BE'!$Z$6*'TE BF'!$Z$49</f>
        <v>0</v>
      </c>
      <c r="AA6" s="26">
        <f>SUM($Z$6:$Z$6)</f>
        <v>0</v>
      </c>
      <c r="AB6" s="26">
        <f>SUMIF($L$4:$AA$4,"SUBTOTAL",$L$6:$AA$6)</f>
        <v>0</v>
      </c>
    </row>
    <row r="7" spans="1:28" ht="11.25" customHeight="1" x14ac:dyDescent="0.25">
      <c r="A7" s="113"/>
      <c r="B7" s="28" t="s">
        <v>69</v>
      </c>
      <c r="C7" s="28" t="s">
        <v>25</v>
      </c>
      <c r="D7" s="28" t="s">
        <v>25</v>
      </c>
      <c r="E7" s="28" t="s">
        <v>25</v>
      </c>
      <c r="F7" s="28" t="s">
        <v>25</v>
      </c>
      <c r="G7" s="29" t="s">
        <v>70</v>
      </c>
      <c r="H7" s="29" t="s">
        <v>66</v>
      </c>
      <c r="I7" s="29">
        <f>'MERCADO TE'!$U$4</f>
        <v>0</v>
      </c>
      <c r="J7" s="15"/>
      <c r="L7" s="26">
        <f>'TE BE'!$L$7*'TE BF'!$L$49</f>
        <v>0</v>
      </c>
      <c r="M7" s="26">
        <f>'TE BE'!$M$7*'TE BF'!$M$49</f>
        <v>0</v>
      </c>
      <c r="N7" s="26">
        <f>'TE BE'!$N$7*'TE BF'!$N$49</f>
        <v>0</v>
      </c>
      <c r="O7" s="26">
        <f>'TE BE'!$O$7*'TE BF'!$O$49</f>
        <v>0</v>
      </c>
      <c r="P7" s="26">
        <f>'TE BE'!$P$7*'TE BF'!$P$49</f>
        <v>0</v>
      </c>
      <c r="Q7" s="26">
        <f>SUM($L$7:$P$7)</f>
        <v>0</v>
      </c>
      <c r="R7" s="26">
        <f>'TE BE'!$R$7*'TE BF'!$R$49</f>
        <v>0</v>
      </c>
      <c r="S7" s="26">
        <f>SUM($R$7:$R$7)</f>
        <v>0</v>
      </c>
      <c r="T7" s="26">
        <f>'TE BE'!$T$7*'TE BF'!$T$49</f>
        <v>0</v>
      </c>
      <c r="U7" s="26">
        <f>'TE BE'!$U$7*'TE BF'!$U$49</f>
        <v>0</v>
      </c>
      <c r="V7" s="26">
        <f>'TE BE'!$V$7*'TE BF'!$V$49</f>
        <v>0</v>
      </c>
      <c r="W7" s="26">
        <f>SUM($T$7:$V$7)</f>
        <v>0</v>
      </c>
      <c r="X7" s="26">
        <f>'TE BE'!$AB$7*'TE BF'!$X$49</f>
        <v>0</v>
      </c>
      <c r="Y7" s="26">
        <f>SUM($X$7:$X$7)</f>
        <v>0</v>
      </c>
      <c r="Z7" s="26">
        <f>'TE BE'!$Z$7*'TE BF'!$Z$49</f>
        <v>0</v>
      </c>
      <c r="AA7" s="26">
        <f>SUM($Z$7:$Z$7)</f>
        <v>0</v>
      </c>
      <c r="AB7" s="26">
        <f>SUMIF($L$4:$AA$4,"SUBTOTAL",$L$7:$AA$7)</f>
        <v>0</v>
      </c>
    </row>
    <row r="8" spans="1:28" ht="11.25" customHeight="1" x14ac:dyDescent="0.25">
      <c r="A8" s="113" t="s">
        <v>22</v>
      </c>
      <c r="B8" s="113" t="s">
        <v>65</v>
      </c>
      <c r="C8" s="113" t="s">
        <v>24</v>
      </c>
      <c r="D8" s="113" t="s">
        <v>24</v>
      </c>
      <c r="E8" s="113" t="s">
        <v>25</v>
      </c>
      <c r="F8" s="113" t="s">
        <v>25</v>
      </c>
      <c r="G8" s="29" t="s">
        <v>67</v>
      </c>
      <c r="H8" s="29" t="s">
        <v>66</v>
      </c>
      <c r="I8" s="29">
        <f>'MERCADO TE'!$U$5</f>
        <v>0.22599999999999998</v>
      </c>
      <c r="J8" s="15"/>
      <c r="L8" s="26">
        <f>'TE BE'!$L$8*'TE BF'!$L$49</f>
        <v>0</v>
      </c>
      <c r="M8" s="26">
        <f>'TE BE'!$M$8*'TE BF'!$M$49</f>
        <v>0</v>
      </c>
      <c r="N8" s="26">
        <f>'TE BE'!$N$8*'TE BF'!$N$49</f>
        <v>0</v>
      </c>
      <c r="O8" s="26">
        <f>'TE BE'!$O$8*'TE BF'!$O$49</f>
        <v>0</v>
      </c>
      <c r="P8" s="26">
        <f>'TE BE'!$P$8*'TE BF'!$P$49</f>
        <v>0</v>
      </c>
      <c r="Q8" s="26">
        <f>SUM($L$8:$P$8)</f>
        <v>0</v>
      </c>
      <c r="R8" s="26">
        <f>'TE BE'!$R$8*'TE BF'!$R$49</f>
        <v>0</v>
      </c>
      <c r="S8" s="26">
        <f>SUM($R$8:$R$8)</f>
        <v>0</v>
      </c>
      <c r="T8" s="26">
        <f>'TE BE'!$T$8*'TE BF'!$T$49</f>
        <v>0</v>
      </c>
      <c r="U8" s="26">
        <f>'TE BE'!$U$8*'TE BF'!$U$49</f>
        <v>0</v>
      </c>
      <c r="V8" s="26">
        <f>'TE BE'!$V$8*'TE BF'!$V$49</f>
        <v>0</v>
      </c>
      <c r="W8" s="26">
        <f>SUM($T$8:$V$8)</f>
        <v>0</v>
      </c>
      <c r="X8" s="26">
        <f>'TE BE'!$AB$8*'TE BF'!$X$49</f>
        <v>0</v>
      </c>
      <c r="Y8" s="26">
        <f>SUM($X$8:$X$8)</f>
        <v>0</v>
      </c>
      <c r="Z8" s="26">
        <f>'TE BE'!$Z$8*'TE BF'!$Z$49</f>
        <v>0</v>
      </c>
      <c r="AA8" s="26">
        <f>SUM($Z$8:$Z$8)</f>
        <v>0</v>
      </c>
      <c r="AB8" s="26">
        <f>SUMIF($L$4:$AA$4,"SUBTOTAL",$L$8:$AA$8)</f>
        <v>0</v>
      </c>
    </row>
    <row r="9" spans="1:28" ht="11.25" customHeight="1" x14ac:dyDescent="0.25">
      <c r="A9" s="113"/>
      <c r="B9" s="113"/>
      <c r="C9" s="113"/>
      <c r="D9" s="113"/>
      <c r="E9" s="113"/>
      <c r="F9" s="113"/>
      <c r="G9" s="29" t="s">
        <v>80</v>
      </c>
      <c r="H9" s="29" t="s">
        <v>66</v>
      </c>
      <c r="I9" s="29">
        <f>'MERCADO TE'!$U$6</f>
        <v>0.29500000000000004</v>
      </c>
      <c r="J9" s="15"/>
      <c r="L9" s="26">
        <f>'TE BE'!$L$9*'TE BF'!$L$49</f>
        <v>0</v>
      </c>
      <c r="M9" s="26">
        <f>'TE BE'!$M$9*'TE BF'!$M$49</f>
        <v>0</v>
      </c>
      <c r="N9" s="26">
        <f>'TE BE'!$N$9*'TE BF'!$N$49</f>
        <v>0</v>
      </c>
      <c r="O9" s="26">
        <f>'TE BE'!$O$9*'TE BF'!$O$49</f>
        <v>0</v>
      </c>
      <c r="P9" s="26">
        <f>'TE BE'!$P$9*'TE BF'!$P$49</f>
        <v>0</v>
      </c>
      <c r="Q9" s="26">
        <f>SUM($L$9:$P$9)</f>
        <v>0</v>
      </c>
      <c r="R9" s="26">
        <f>'TE BE'!$R$9*'TE BF'!$R$49</f>
        <v>0</v>
      </c>
      <c r="S9" s="26">
        <f>SUM($R$9:$R$9)</f>
        <v>0</v>
      </c>
      <c r="T9" s="26">
        <f>'TE BE'!$T$9*'TE BF'!$T$49</f>
        <v>0</v>
      </c>
      <c r="U9" s="26">
        <f>'TE BE'!$U$9*'TE BF'!$U$49</f>
        <v>0</v>
      </c>
      <c r="V9" s="26">
        <f>'TE BE'!$V$9*'TE BF'!$V$49</f>
        <v>0</v>
      </c>
      <c r="W9" s="26">
        <f>SUM($T$9:$V$9)</f>
        <v>0</v>
      </c>
      <c r="X9" s="26">
        <f>'TE BE'!$AB$9*'TE BF'!$X$49</f>
        <v>0</v>
      </c>
      <c r="Y9" s="26">
        <f>SUM($X$9:$X$9)</f>
        <v>0</v>
      </c>
      <c r="Z9" s="26">
        <f>'TE BE'!$Z$9*'TE BF'!$Z$49</f>
        <v>0</v>
      </c>
      <c r="AA9" s="26">
        <f>SUM($Z$9:$Z$9)</f>
        <v>0</v>
      </c>
      <c r="AB9" s="26">
        <f>SUMIF($L$4:$AA$4,"SUBTOTAL",$L$9:$AA$9)</f>
        <v>0</v>
      </c>
    </row>
    <row r="10" spans="1:28" ht="11.25" customHeight="1" x14ac:dyDescent="0.25">
      <c r="A10" s="113"/>
      <c r="B10" s="113"/>
      <c r="C10" s="113"/>
      <c r="D10" s="113"/>
      <c r="E10" s="113"/>
      <c r="F10" s="113"/>
      <c r="G10" s="29" t="s">
        <v>68</v>
      </c>
      <c r="H10" s="29" t="s">
        <v>66</v>
      </c>
      <c r="I10" s="29">
        <f>'MERCADO TE'!$U$7</f>
        <v>2.2109999999999999</v>
      </c>
      <c r="J10" s="15"/>
      <c r="L10" s="26">
        <f>'TE BE'!$L$10*'TE BF'!$L$49</f>
        <v>0</v>
      </c>
      <c r="M10" s="26">
        <f>'TE BE'!$M$10*'TE BF'!$M$49</f>
        <v>0</v>
      </c>
      <c r="N10" s="26">
        <f>'TE BE'!$N$10*'TE BF'!$N$49</f>
        <v>0</v>
      </c>
      <c r="O10" s="26">
        <f>'TE BE'!$O$10*'TE BF'!$O$49</f>
        <v>0</v>
      </c>
      <c r="P10" s="26">
        <f>'TE BE'!$P$10*'TE BF'!$P$49</f>
        <v>0</v>
      </c>
      <c r="Q10" s="26">
        <f>SUM($L$10:$P$10)</f>
        <v>0</v>
      </c>
      <c r="R10" s="26">
        <f>'TE BE'!$R$10*'TE BF'!$R$49</f>
        <v>0</v>
      </c>
      <c r="S10" s="26">
        <f>SUM($R$10:$R$10)</f>
        <v>0</v>
      </c>
      <c r="T10" s="26">
        <f>'TE BE'!$T$10*'TE BF'!$T$49</f>
        <v>0</v>
      </c>
      <c r="U10" s="26">
        <f>'TE BE'!$U$10*'TE BF'!$U$49</f>
        <v>0</v>
      </c>
      <c r="V10" s="26">
        <f>'TE BE'!$V$10*'TE BF'!$V$49</f>
        <v>0</v>
      </c>
      <c r="W10" s="26">
        <f>SUM($T$10:$V$10)</f>
        <v>0</v>
      </c>
      <c r="X10" s="26">
        <f>'TE BE'!$AB$10*'TE BF'!$X$49</f>
        <v>0</v>
      </c>
      <c r="Y10" s="26">
        <f>SUM($X$10:$X$10)</f>
        <v>0</v>
      </c>
      <c r="Z10" s="26">
        <f>'TE BE'!$Z$10*'TE BF'!$Z$49</f>
        <v>0</v>
      </c>
      <c r="AA10" s="26">
        <f>SUM($Z$10:$Z$10)</f>
        <v>0</v>
      </c>
      <c r="AB10" s="26">
        <f>SUMIF($L$4:$AA$4,"SUBTOTAL",$L$10:$AA$10)</f>
        <v>0</v>
      </c>
    </row>
    <row r="11" spans="1:28" ht="11.25" customHeight="1" x14ac:dyDescent="0.25">
      <c r="A11" s="113"/>
      <c r="B11" s="113" t="s">
        <v>69</v>
      </c>
      <c r="C11" s="113" t="s">
        <v>24</v>
      </c>
      <c r="D11" s="28" t="s">
        <v>24</v>
      </c>
      <c r="E11" s="28" t="s">
        <v>25</v>
      </c>
      <c r="F11" s="28" t="s">
        <v>25</v>
      </c>
      <c r="G11" s="29" t="s">
        <v>70</v>
      </c>
      <c r="H11" s="29" t="s">
        <v>66</v>
      </c>
      <c r="I11" s="29">
        <f>'MERCADO TE'!$U$8</f>
        <v>11826.234</v>
      </c>
      <c r="J11" s="15"/>
      <c r="L11" s="26">
        <f>'TE BE'!$L$11*'TE BF'!$L$49</f>
        <v>0</v>
      </c>
      <c r="M11" s="26">
        <f>'TE BE'!$M$11*'TE BF'!$M$49</f>
        <v>0</v>
      </c>
      <c r="N11" s="26">
        <f>'TE BE'!$N$11*'TE BF'!$N$49</f>
        <v>0</v>
      </c>
      <c r="O11" s="26">
        <f>'TE BE'!$O$11*'TE BF'!$O$49</f>
        <v>0</v>
      </c>
      <c r="P11" s="26">
        <f>'TE BE'!$P$11*'TE BF'!$P$49</f>
        <v>0</v>
      </c>
      <c r="Q11" s="26">
        <f>SUM($L$11:$P$11)</f>
        <v>0</v>
      </c>
      <c r="R11" s="26">
        <f>'TE BE'!$R$11*'TE BF'!$R$49</f>
        <v>0</v>
      </c>
      <c r="S11" s="26">
        <f>SUM($R$11:$R$11)</f>
        <v>0</v>
      </c>
      <c r="T11" s="26">
        <f>'TE BE'!$T$11*'TE BF'!$T$49</f>
        <v>0</v>
      </c>
      <c r="U11" s="26">
        <f>'TE BE'!$U$11*'TE BF'!$U$49</f>
        <v>0</v>
      </c>
      <c r="V11" s="26">
        <f>'TE BE'!$V$11*'TE BF'!$V$49</f>
        <v>0</v>
      </c>
      <c r="W11" s="26">
        <f>SUM($T$11:$V$11)</f>
        <v>0</v>
      </c>
      <c r="X11" s="26">
        <f>'TE BE'!$AB$11*'TE BF'!$X$49</f>
        <v>0</v>
      </c>
      <c r="Y11" s="26">
        <f>SUM($X$11:$X$11)</f>
        <v>0</v>
      </c>
      <c r="Z11" s="26">
        <f>'TE BE'!$Z$11*'TE BF'!$Z$49</f>
        <v>0</v>
      </c>
      <c r="AA11" s="26">
        <f>SUM($Z$11:$Z$11)</f>
        <v>0</v>
      </c>
      <c r="AB11" s="26">
        <f>SUMIF($L$4:$AA$4,"SUBTOTAL",$L$11:$AA$11)</f>
        <v>0</v>
      </c>
    </row>
    <row r="12" spans="1:28" ht="11.25" customHeight="1" x14ac:dyDescent="0.25">
      <c r="A12" s="113"/>
      <c r="B12" s="113"/>
      <c r="C12" s="113"/>
      <c r="D12" s="28" t="s">
        <v>29</v>
      </c>
      <c r="E12" s="28" t="s">
        <v>25</v>
      </c>
      <c r="F12" s="28" t="s">
        <v>25</v>
      </c>
      <c r="G12" s="29" t="s">
        <v>70</v>
      </c>
      <c r="H12" s="29" t="s">
        <v>66</v>
      </c>
      <c r="I12" s="29">
        <f>'MERCADO TE'!$U$9</f>
        <v>111.53999999999999</v>
      </c>
      <c r="J12" s="15"/>
      <c r="L12" s="26">
        <f>'TE BE'!$L$12*'TE BF'!$L$49</f>
        <v>0</v>
      </c>
      <c r="M12" s="26">
        <f>'TE BE'!$M$12*'TE BF'!$M$49</f>
        <v>0</v>
      </c>
      <c r="N12" s="26">
        <f>'TE BE'!$N$12*'TE BF'!$N$49</f>
        <v>0</v>
      </c>
      <c r="O12" s="26">
        <f>'TE BE'!$O$12*'TE BF'!$O$49</f>
        <v>0</v>
      </c>
      <c r="P12" s="26">
        <f>'TE BE'!$P$12*'TE BF'!$P$49</f>
        <v>0</v>
      </c>
      <c r="Q12" s="26">
        <f>SUM($L$12:$P$12)</f>
        <v>0</v>
      </c>
      <c r="R12" s="26">
        <f>'TE BE'!$R$12*'TE BF'!$R$49</f>
        <v>0</v>
      </c>
      <c r="S12" s="26">
        <f>SUM($R$12:$R$12)</f>
        <v>0</v>
      </c>
      <c r="T12" s="26">
        <f>'TE BE'!$T$12*'TE BF'!$T$49</f>
        <v>0</v>
      </c>
      <c r="U12" s="26">
        <f>'TE BE'!$U$12*'TE BF'!$U$49</f>
        <v>0</v>
      </c>
      <c r="V12" s="26">
        <f>'TE BE'!$V$12*'TE BF'!$V$49</f>
        <v>0</v>
      </c>
      <c r="W12" s="26">
        <f>SUM($T$12:$V$12)</f>
        <v>0</v>
      </c>
      <c r="X12" s="26">
        <f>'TE BE'!$AB$12*'TE BF'!$X$49</f>
        <v>0</v>
      </c>
      <c r="Y12" s="26">
        <f>SUM($X$12:$X$12)</f>
        <v>0</v>
      </c>
      <c r="Z12" s="26">
        <f>'TE BE'!$Z$12*'TE BF'!$Z$49</f>
        <v>0</v>
      </c>
      <c r="AA12" s="26">
        <f>SUM($Z$12:$Z$12)</f>
        <v>0</v>
      </c>
      <c r="AB12" s="26">
        <f>SUMIF($L$4:$AA$4,"SUBTOTAL",$L$12:$AA$12)</f>
        <v>0</v>
      </c>
    </row>
    <row r="13" spans="1:28" ht="11.25" customHeight="1" x14ac:dyDescent="0.25">
      <c r="A13" s="113"/>
      <c r="B13" s="113"/>
      <c r="C13" s="113"/>
      <c r="D13" s="28" t="s">
        <v>30</v>
      </c>
      <c r="E13" s="28" t="s">
        <v>25</v>
      </c>
      <c r="F13" s="28" t="s">
        <v>25</v>
      </c>
      <c r="G13" s="29" t="s">
        <v>70</v>
      </c>
      <c r="H13" s="29" t="s">
        <v>66</v>
      </c>
      <c r="I13" s="29">
        <f>'MERCADO TE'!$U$10</f>
        <v>220.67500000000001</v>
      </c>
      <c r="J13" s="15"/>
      <c r="L13" s="26">
        <f>'TE BE'!$L$13*'TE BF'!$L$49</f>
        <v>0</v>
      </c>
      <c r="M13" s="26">
        <f>'TE BE'!$M$13*'TE BF'!$M$49</f>
        <v>0</v>
      </c>
      <c r="N13" s="26">
        <f>'TE BE'!$N$13*'TE BF'!$N$49</f>
        <v>0</v>
      </c>
      <c r="O13" s="26">
        <f>'TE BE'!$O$13*'TE BF'!$O$49</f>
        <v>0</v>
      </c>
      <c r="P13" s="26">
        <f>'TE BE'!$P$13*'TE BF'!$P$49</f>
        <v>0</v>
      </c>
      <c r="Q13" s="26">
        <f>SUM($L$13:$P$13)</f>
        <v>0</v>
      </c>
      <c r="R13" s="26">
        <f>'TE BE'!$R$13*'TE BF'!$R$49</f>
        <v>0</v>
      </c>
      <c r="S13" s="26">
        <f>SUM($R$13:$R$13)</f>
        <v>0</v>
      </c>
      <c r="T13" s="26">
        <f>'TE BE'!$T$13*'TE BF'!$T$49</f>
        <v>0</v>
      </c>
      <c r="U13" s="26">
        <f>'TE BE'!$U$13*'TE BF'!$U$49</f>
        <v>0</v>
      </c>
      <c r="V13" s="26">
        <f>'TE BE'!$V$13*'TE BF'!$V$49</f>
        <v>0</v>
      </c>
      <c r="W13" s="26">
        <f>SUM($T$13:$V$13)</f>
        <v>0</v>
      </c>
      <c r="X13" s="26">
        <f>'TE BE'!$AB$13*'TE BF'!$X$49</f>
        <v>0</v>
      </c>
      <c r="Y13" s="26">
        <f>SUM($X$13:$X$13)</f>
        <v>0</v>
      </c>
      <c r="Z13" s="26">
        <f>'TE BE'!$Z$13*'TE BF'!$Z$49</f>
        <v>0</v>
      </c>
      <c r="AA13" s="26">
        <f>SUM($Z$13:$Z$13)</f>
        <v>0</v>
      </c>
      <c r="AB13" s="26">
        <f>SUMIF($L$4:$AA$4,"SUBTOTAL",$L$13:$AA$13)</f>
        <v>0</v>
      </c>
    </row>
    <row r="14" spans="1:28" ht="11.25" customHeight="1" x14ac:dyDescent="0.25">
      <c r="A14" s="113"/>
      <c r="B14" s="113"/>
      <c r="C14" s="113"/>
      <c r="D14" s="28" t="s">
        <v>31</v>
      </c>
      <c r="E14" s="28" t="s">
        <v>25</v>
      </c>
      <c r="F14" s="28" t="s">
        <v>25</v>
      </c>
      <c r="G14" s="29" t="s">
        <v>70</v>
      </c>
      <c r="H14" s="29" t="s">
        <v>66</v>
      </c>
      <c r="I14" s="29">
        <f>'MERCADO TE'!$U$11</f>
        <v>205.22700000000003</v>
      </c>
      <c r="J14" s="15"/>
      <c r="L14" s="26">
        <f>'TE BE'!$L$14*'TE BF'!$L$49</f>
        <v>0</v>
      </c>
      <c r="M14" s="26">
        <f>'TE BE'!$M$14*'TE BF'!$M$49</f>
        <v>0</v>
      </c>
      <c r="N14" s="26">
        <f>'TE BE'!$N$14*'TE BF'!$N$49</f>
        <v>0</v>
      </c>
      <c r="O14" s="26">
        <f>'TE BE'!$O$14*'TE BF'!$O$49</f>
        <v>0</v>
      </c>
      <c r="P14" s="26">
        <f>'TE BE'!$P$14*'TE BF'!$P$49</f>
        <v>0</v>
      </c>
      <c r="Q14" s="26">
        <f>SUM($L$14:$P$14)</f>
        <v>0</v>
      </c>
      <c r="R14" s="26">
        <f>'TE BE'!$R$14*'TE BF'!$R$49</f>
        <v>0</v>
      </c>
      <c r="S14" s="26">
        <f>SUM($R$14:$R$14)</f>
        <v>0</v>
      </c>
      <c r="T14" s="26">
        <f>'TE BE'!$T$14*'TE BF'!$T$49</f>
        <v>0</v>
      </c>
      <c r="U14" s="26">
        <f>'TE BE'!$U$14*'TE BF'!$U$49</f>
        <v>0</v>
      </c>
      <c r="V14" s="26">
        <f>'TE BE'!$V$14*'TE BF'!$V$49</f>
        <v>0</v>
      </c>
      <c r="W14" s="26">
        <f>SUM($T$14:$V$14)</f>
        <v>0</v>
      </c>
      <c r="X14" s="26">
        <f>'TE BE'!$AB$14*'TE BF'!$X$49</f>
        <v>0</v>
      </c>
      <c r="Y14" s="26">
        <f>SUM($X$14:$X$14)</f>
        <v>0</v>
      </c>
      <c r="Z14" s="26">
        <f>'TE BE'!$Z$14*'TE BF'!$Z$49</f>
        <v>0</v>
      </c>
      <c r="AA14" s="26">
        <f>SUM($Z$14:$Z$14)</f>
        <v>0</v>
      </c>
      <c r="AB14" s="26">
        <f>SUMIF($L$4:$AA$4,"SUBTOTAL",$L$14:$AA$14)</f>
        <v>0</v>
      </c>
    </row>
    <row r="15" spans="1:28" ht="11.25" customHeight="1" x14ac:dyDescent="0.25">
      <c r="A15" s="113"/>
      <c r="B15" s="113"/>
      <c r="C15" s="113"/>
      <c r="D15" s="28" t="s">
        <v>32</v>
      </c>
      <c r="E15" s="28" t="s">
        <v>25</v>
      </c>
      <c r="F15" s="28" t="s">
        <v>25</v>
      </c>
      <c r="G15" s="29" t="s">
        <v>70</v>
      </c>
      <c r="H15" s="29" t="s">
        <v>66</v>
      </c>
      <c r="I15" s="29">
        <f>'MERCADO TE'!$U$12</f>
        <v>75.31</v>
      </c>
      <c r="J15" s="15"/>
      <c r="L15" s="26">
        <f>'TE BE'!$L$15*'TE BF'!$L$49</f>
        <v>0</v>
      </c>
      <c r="M15" s="26">
        <f>'TE BE'!$M$15*'TE BF'!$M$49</f>
        <v>0</v>
      </c>
      <c r="N15" s="26">
        <f>'TE BE'!$N$15*'TE BF'!$N$49</f>
        <v>0</v>
      </c>
      <c r="O15" s="26">
        <f>'TE BE'!$O$15*'TE BF'!$O$49</f>
        <v>0</v>
      </c>
      <c r="P15" s="26">
        <f>'TE BE'!$P$15*'TE BF'!$P$49</f>
        <v>0</v>
      </c>
      <c r="Q15" s="26">
        <f>SUM($L$15:$P$15)</f>
        <v>0</v>
      </c>
      <c r="R15" s="26">
        <f>'TE BE'!$R$15*'TE BF'!$R$49</f>
        <v>0</v>
      </c>
      <c r="S15" s="26">
        <f>SUM($R$15:$R$15)</f>
        <v>0</v>
      </c>
      <c r="T15" s="26">
        <f>'TE BE'!$T$15*'TE BF'!$T$49</f>
        <v>0</v>
      </c>
      <c r="U15" s="26">
        <f>'TE BE'!$U$15*'TE BF'!$U$49</f>
        <v>0</v>
      </c>
      <c r="V15" s="26">
        <f>'TE BE'!$V$15*'TE BF'!$V$49</f>
        <v>0</v>
      </c>
      <c r="W15" s="26">
        <f>SUM($T$15:$V$15)</f>
        <v>0</v>
      </c>
      <c r="X15" s="26">
        <f>'TE BE'!$AB$15*'TE BF'!$X$49</f>
        <v>0</v>
      </c>
      <c r="Y15" s="26">
        <f>SUM($X$15:$X$15)</f>
        <v>0</v>
      </c>
      <c r="Z15" s="26">
        <f>'TE BE'!$Z$15*'TE BF'!$Z$49</f>
        <v>0</v>
      </c>
      <c r="AA15" s="26">
        <f>SUM($Z$15:$Z$15)</f>
        <v>0</v>
      </c>
      <c r="AB15" s="26">
        <f>SUMIF($L$4:$AA$4,"SUBTOTAL",$L$15:$AA$15)</f>
        <v>0</v>
      </c>
    </row>
    <row r="16" spans="1:28" ht="11.25" customHeight="1" x14ac:dyDescent="0.25">
      <c r="A16" s="113"/>
      <c r="B16" s="113" t="s">
        <v>81</v>
      </c>
      <c r="C16" s="113" t="s">
        <v>24</v>
      </c>
      <c r="D16" s="28" t="s">
        <v>24</v>
      </c>
      <c r="E16" s="28" t="s">
        <v>25</v>
      </c>
      <c r="F16" s="28" t="s">
        <v>25</v>
      </c>
      <c r="G16" s="29" t="s">
        <v>70</v>
      </c>
      <c r="H16" s="29" t="s">
        <v>66</v>
      </c>
      <c r="I16" s="29">
        <f>'MERCADO TE'!$U$13</f>
        <v>0</v>
      </c>
      <c r="J16" s="15"/>
      <c r="L16" s="26">
        <f>'TE BE'!$L$16*'TE BF'!$L$49</f>
        <v>0</v>
      </c>
      <c r="M16" s="26">
        <f>'TE BE'!$M$16*'TE BF'!$M$49</f>
        <v>0</v>
      </c>
      <c r="N16" s="26">
        <f>'TE BE'!$N$16*'TE BF'!$N$49</f>
        <v>0</v>
      </c>
      <c r="O16" s="26">
        <f>'TE BE'!$O$16*'TE BF'!$O$49</f>
        <v>0</v>
      </c>
      <c r="P16" s="26">
        <f>'TE BE'!$P$16*'TE BF'!$P$49</f>
        <v>0</v>
      </c>
      <c r="Q16" s="26">
        <f>SUM($L$16:$P$16)</f>
        <v>0</v>
      </c>
      <c r="R16" s="26">
        <f>'TE BE'!$R$16*'TE BF'!$R$49</f>
        <v>0</v>
      </c>
      <c r="S16" s="26">
        <f>SUM($R$16:$R$16)</f>
        <v>0</v>
      </c>
      <c r="T16" s="26">
        <f>'TE BE'!$T$16*'TE BF'!$T$49</f>
        <v>0</v>
      </c>
      <c r="U16" s="26">
        <f>'TE BE'!$U$16*'TE BF'!$U$49</f>
        <v>0</v>
      </c>
      <c r="V16" s="26">
        <f>'TE BE'!$V$16*'TE BF'!$V$49</f>
        <v>0</v>
      </c>
      <c r="W16" s="26">
        <f>SUM($T$16:$V$16)</f>
        <v>0</v>
      </c>
      <c r="X16" s="26">
        <f>'TE BE'!$AB$16*'TE BF'!$X$49</f>
        <v>0</v>
      </c>
      <c r="Y16" s="26">
        <f>SUM($X$16:$X$16)</f>
        <v>0</v>
      </c>
      <c r="Z16" s="26">
        <f>'TE BE'!$Z$16*'TE BF'!$Z$49</f>
        <v>0</v>
      </c>
      <c r="AA16" s="26">
        <f>SUM($Z$16:$Z$16)</f>
        <v>0</v>
      </c>
      <c r="AB16" s="26">
        <f>SUMIF($L$4:$AA$4,"SUBTOTAL",$L$16:$AA$16)</f>
        <v>0</v>
      </c>
    </row>
    <row r="17" spans="1:28" ht="11.25" customHeight="1" x14ac:dyDescent="0.25">
      <c r="A17" s="113"/>
      <c r="B17" s="113"/>
      <c r="C17" s="113"/>
      <c r="D17" s="28" t="s">
        <v>29</v>
      </c>
      <c r="E17" s="28" t="s">
        <v>25</v>
      </c>
      <c r="F17" s="28" t="s">
        <v>25</v>
      </c>
      <c r="G17" s="29" t="s">
        <v>70</v>
      </c>
      <c r="H17" s="29" t="s">
        <v>66</v>
      </c>
      <c r="I17" s="29">
        <f>'MERCADO TE'!$U$14</f>
        <v>0</v>
      </c>
      <c r="J17" s="15"/>
      <c r="L17" s="26">
        <f>'TE BE'!$L$17*'TE BF'!$L$49</f>
        <v>0</v>
      </c>
      <c r="M17" s="26">
        <f>'TE BE'!$M$17*'TE BF'!$M$49</f>
        <v>0</v>
      </c>
      <c r="N17" s="26">
        <f>'TE BE'!$N$17*'TE BF'!$N$49</f>
        <v>0</v>
      </c>
      <c r="O17" s="26">
        <f>'TE BE'!$O$17*'TE BF'!$O$49</f>
        <v>0</v>
      </c>
      <c r="P17" s="26">
        <f>'TE BE'!$P$17*'TE BF'!$P$49</f>
        <v>0</v>
      </c>
      <c r="Q17" s="26">
        <f>SUM($L$17:$P$17)</f>
        <v>0</v>
      </c>
      <c r="R17" s="26">
        <f>'TE BE'!$R$17*'TE BF'!$R$49</f>
        <v>0</v>
      </c>
      <c r="S17" s="26">
        <f>SUM($R$17:$R$17)</f>
        <v>0</v>
      </c>
      <c r="T17" s="26">
        <f>'TE BE'!$T$17*'TE BF'!$T$49</f>
        <v>0</v>
      </c>
      <c r="U17" s="26">
        <f>'TE BE'!$U$17*'TE BF'!$U$49</f>
        <v>0</v>
      </c>
      <c r="V17" s="26">
        <f>'TE BE'!$V$17*'TE BF'!$V$49</f>
        <v>0</v>
      </c>
      <c r="W17" s="26">
        <f>SUM($T$17:$V$17)</f>
        <v>0</v>
      </c>
      <c r="X17" s="26">
        <f>'TE BE'!$AB$17*'TE BF'!$X$49</f>
        <v>0</v>
      </c>
      <c r="Y17" s="26">
        <f>SUM($X$17:$X$17)</f>
        <v>0</v>
      </c>
      <c r="Z17" s="26">
        <f>'TE BE'!$Z$17*'TE BF'!$Z$49</f>
        <v>0</v>
      </c>
      <c r="AA17" s="26">
        <f>SUM($Z$17:$Z$17)</f>
        <v>0</v>
      </c>
      <c r="AB17" s="26">
        <f>SUMIF($L$4:$AA$4,"SUBTOTAL",$L$17:$AA$17)</f>
        <v>0</v>
      </c>
    </row>
    <row r="18" spans="1:28" ht="11.25" customHeight="1" x14ac:dyDescent="0.25">
      <c r="A18" s="113"/>
      <c r="B18" s="113"/>
      <c r="C18" s="113"/>
      <c r="D18" s="28" t="s">
        <v>30</v>
      </c>
      <c r="E18" s="28" t="s">
        <v>25</v>
      </c>
      <c r="F18" s="28" t="s">
        <v>25</v>
      </c>
      <c r="G18" s="29" t="s">
        <v>70</v>
      </c>
      <c r="H18" s="29" t="s">
        <v>66</v>
      </c>
      <c r="I18" s="29">
        <f>'MERCADO TE'!$U$15</f>
        <v>0</v>
      </c>
      <c r="J18" s="15"/>
      <c r="L18" s="26">
        <f>'TE BE'!$L$18*'TE BF'!$L$49</f>
        <v>0</v>
      </c>
      <c r="M18" s="26">
        <f>'TE BE'!$M$18*'TE BF'!$M$49</f>
        <v>0</v>
      </c>
      <c r="N18" s="26">
        <f>'TE BE'!$N$18*'TE BF'!$N$49</f>
        <v>0</v>
      </c>
      <c r="O18" s="26">
        <f>'TE BE'!$O$18*'TE BF'!$O$49</f>
        <v>0</v>
      </c>
      <c r="P18" s="26">
        <f>'TE BE'!$P$18*'TE BF'!$P$49</f>
        <v>0</v>
      </c>
      <c r="Q18" s="26">
        <f>SUM($L$18:$P$18)</f>
        <v>0</v>
      </c>
      <c r="R18" s="26">
        <f>'TE BE'!$R$18*'TE BF'!$R$49</f>
        <v>0</v>
      </c>
      <c r="S18" s="26">
        <f>SUM($R$18:$R$18)</f>
        <v>0</v>
      </c>
      <c r="T18" s="26">
        <f>'TE BE'!$T$18*'TE BF'!$T$49</f>
        <v>0</v>
      </c>
      <c r="U18" s="26">
        <f>'TE BE'!$U$18*'TE BF'!$U$49</f>
        <v>0</v>
      </c>
      <c r="V18" s="26">
        <f>'TE BE'!$V$18*'TE BF'!$V$49</f>
        <v>0</v>
      </c>
      <c r="W18" s="26">
        <f>SUM($T$18:$V$18)</f>
        <v>0</v>
      </c>
      <c r="X18" s="26">
        <f>'TE BE'!$AB$18*'TE BF'!$X$49</f>
        <v>0</v>
      </c>
      <c r="Y18" s="26">
        <f>SUM($X$18:$X$18)</f>
        <v>0</v>
      </c>
      <c r="Z18" s="26">
        <f>'TE BE'!$Z$18*'TE BF'!$Z$49</f>
        <v>0</v>
      </c>
      <c r="AA18" s="26">
        <f>SUM($Z$18:$Z$18)</f>
        <v>0</v>
      </c>
      <c r="AB18" s="26">
        <f>SUMIF($L$4:$AA$4,"SUBTOTAL",$L$18:$AA$18)</f>
        <v>0</v>
      </c>
    </row>
    <row r="19" spans="1:28" ht="11.25" customHeight="1" x14ac:dyDescent="0.25">
      <c r="A19" s="113"/>
      <c r="B19" s="113"/>
      <c r="C19" s="113"/>
      <c r="D19" s="28" t="s">
        <v>31</v>
      </c>
      <c r="E19" s="28" t="s">
        <v>25</v>
      </c>
      <c r="F19" s="28" t="s">
        <v>25</v>
      </c>
      <c r="G19" s="29" t="s">
        <v>70</v>
      </c>
      <c r="H19" s="29" t="s">
        <v>66</v>
      </c>
      <c r="I19" s="29">
        <f>'MERCADO TE'!$U$16</f>
        <v>0</v>
      </c>
      <c r="J19" s="15"/>
      <c r="L19" s="26">
        <f>'TE BE'!$L$19*'TE BF'!$L$49</f>
        <v>0</v>
      </c>
      <c r="M19" s="26">
        <f>'TE BE'!$M$19*'TE BF'!$M$49</f>
        <v>0</v>
      </c>
      <c r="N19" s="26">
        <f>'TE BE'!$N$19*'TE BF'!$N$49</f>
        <v>0</v>
      </c>
      <c r="O19" s="26">
        <f>'TE BE'!$O$19*'TE BF'!$O$49</f>
        <v>0</v>
      </c>
      <c r="P19" s="26">
        <f>'TE BE'!$P$19*'TE BF'!$P$49</f>
        <v>0</v>
      </c>
      <c r="Q19" s="26">
        <f>SUM($L$19:$P$19)</f>
        <v>0</v>
      </c>
      <c r="R19" s="26">
        <f>'TE BE'!$R$19*'TE BF'!$R$49</f>
        <v>0</v>
      </c>
      <c r="S19" s="26">
        <f>SUM($R$19:$R$19)</f>
        <v>0</v>
      </c>
      <c r="T19" s="26">
        <f>'TE BE'!$T$19*'TE BF'!$T$49</f>
        <v>0</v>
      </c>
      <c r="U19" s="26">
        <f>'TE BE'!$U$19*'TE BF'!$U$49</f>
        <v>0</v>
      </c>
      <c r="V19" s="26">
        <f>'TE BE'!$V$19*'TE BF'!$V$49</f>
        <v>0</v>
      </c>
      <c r="W19" s="26">
        <f>SUM($T$19:$V$19)</f>
        <v>0</v>
      </c>
      <c r="X19" s="26">
        <f>'TE BE'!$AB$19*'TE BF'!$X$49</f>
        <v>0</v>
      </c>
      <c r="Y19" s="26">
        <f>SUM($X$19:$X$19)</f>
        <v>0</v>
      </c>
      <c r="Z19" s="26">
        <f>'TE BE'!$Z$19*'TE BF'!$Z$49</f>
        <v>0</v>
      </c>
      <c r="AA19" s="26">
        <f>SUM($Z$19:$Z$19)</f>
        <v>0</v>
      </c>
      <c r="AB19" s="26">
        <f>SUMIF($L$4:$AA$4,"SUBTOTAL",$L$19:$AA$19)</f>
        <v>0</v>
      </c>
    </row>
    <row r="20" spans="1:28" ht="11.25" customHeight="1" x14ac:dyDescent="0.25">
      <c r="A20" s="113"/>
      <c r="B20" s="113"/>
      <c r="C20" s="113"/>
      <c r="D20" s="28" t="s">
        <v>32</v>
      </c>
      <c r="E20" s="28" t="s">
        <v>25</v>
      </c>
      <c r="F20" s="28" t="s">
        <v>25</v>
      </c>
      <c r="G20" s="29" t="s">
        <v>70</v>
      </c>
      <c r="H20" s="29" t="s">
        <v>66</v>
      </c>
      <c r="I20" s="29">
        <f>'MERCADO TE'!$U$17</f>
        <v>0</v>
      </c>
      <c r="J20" s="15"/>
      <c r="L20" s="26">
        <f>'TE BE'!$L$20*'TE BF'!$L$49</f>
        <v>0</v>
      </c>
      <c r="M20" s="26">
        <f>'TE BE'!$M$20*'TE BF'!$M$49</f>
        <v>0</v>
      </c>
      <c r="N20" s="26">
        <f>'TE BE'!$N$20*'TE BF'!$N$49</f>
        <v>0</v>
      </c>
      <c r="O20" s="26">
        <f>'TE BE'!$O$20*'TE BF'!$O$49</f>
        <v>0</v>
      </c>
      <c r="P20" s="26">
        <f>'TE BE'!$P$20*'TE BF'!$P$49</f>
        <v>0</v>
      </c>
      <c r="Q20" s="26">
        <f>SUM($L$20:$P$20)</f>
        <v>0</v>
      </c>
      <c r="R20" s="26">
        <f>'TE BE'!$R$20*'TE BF'!$R$49</f>
        <v>0</v>
      </c>
      <c r="S20" s="26">
        <f>SUM($R$20:$R$20)</f>
        <v>0</v>
      </c>
      <c r="T20" s="26">
        <f>'TE BE'!$T$20*'TE BF'!$T$49</f>
        <v>0</v>
      </c>
      <c r="U20" s="26">
        <f>'TE BE'!$U$20*'TE BF'!$U$49</f>
        <v>0</v>
      </c>
      <c r="V20" s="26">
        <f>'TE BE'!$V$20*'TE BF'!$V$49</f>
        <v>0</v>
      </c>
      <c r="W20" s="26">
        <f>SUM($T$20:$V$20)</f>
        <v>0</v>
      </c>
      <c r="X20" s="26">
        <f>'TE BE'!$AB$20*'TE BF'!$X$49</f>
        <v>0</v>
      </c>
      <c r="Y20" s="26">
        <f>SUM($X$20:$X$20)</f>
        <v>0</v>
      </c>
      <c r="Z20" s="26">
        <f>'TE BE'!$Z$20*'TE BF'!$Z$49</f>
        <v>0</v>
      </c>
      <c r="AA20" s="26">
        <f>SUM($Z$20:$Z$20)</f>
        <v>0</v>
      </c>
      <c r="AB20" s="26">
        <f>SUMIF($L$4:$AA$4,"SUBTOTAL",$L$20:$AA$20)</f>
        <v>0</v>
      </c>
    </row>
    <row r="21" spans="1:28" ht="11.25" customHeight="1" x14ac:dyDescent="0.25">
      <c r="A21" s="113" t="s">
        <v>41</v>
      </c>
      <c r="B21" s="113" t="s">
        <v>65</v>
      </c>
      <c r="C21" s="113" t="s">
        <v>42</v>
      </c>
      <c r="D21" s="113" t="s">
        <v>25</v>
      </c>
      <c r="E21" s="113" t="s">
        <v>25</v>
      </c>
      <c r="F21" s="113" t="s">
        <v>25</v>
      </c>
      <c r="G21" s="29" t="s">
        <v>67</v>
      </c>
      <c r="H21" s="29" t="s">
        <v>66</v>
      </c>
      <c r="I21" s="29">
        <f>'MERCADO TE'!$U$18</f>
        <v>0</v>
      </c>
      <c r="J21" s="15"/>
      <c r="L21" s="26">
        <f>'TE BE'!$L$21*'TE BF'!$L$49</f>
        <v>0</v>
      </c>
      <c r="M21" s="26">
        <f>'TE BE'!$M$21*'TE BF'!$M$49</f>
        <v>0</v>
      </c>
      <c r="N21" s="26">
        <f>'TE BE'!$N$21*'TE BF'!$N$49</f>
        <v>0</v>
      </c>
      <c r="O21" s="26">
        <f>'TE BE'!$O$21*'TE BF'!$O$49</f>
        <v>0</v>
      </c>
      <c r="P21" s="26">
        <f>'TE BE'!$P$21*'TE BF'!$P$49</f>
        <v>0</v>
      </c>
      <c r="Q21" s="26">
        <f>SUM($L$21:$P$21)</f>
        <v>0</v>
      </c>
      <c r="R21" s="26">
        <f>'TE BE'!$R$21*'TE BF'!$R$49</f>
        <v>0</v>
      </c>
      <c r="S21" s="26">
        <f>SUM($R$21:$R$21)</f>
        <v>0</v>
      </c>
      <c r="T21" s="26">
        <f>'TE BE'!$T$21*'TE BF'!$T$49</f>
        <v>0</v>
      </c>
      <c r="U21" s="26">
        <f>'TE BE'!$U$21*'TE BF'!$U$49</f>
        <v>0</v>
      </c>
      <c r="V21" s="26">
        <f>'TE BE'!$V$21*'TE BF'!$V$49</f>
        <v>0</v>
      </c>
      <c r="W21" s="26">
        <f>SUM($T$21:$V$21)</f>
        <v>0</v>
      </c>
      <c r="X21" s="26">
        <f>'TE BE'!$AB$21*'TE BF'!$X$49</f>
        <v>0</v>
      </c>
      <c r="Y21" s="26">
        <f>SUM($X$21:$X$21)</f>
        <v>0</v>
      </c>
      <c r="Z21" s="26">
        <f>'TE BE'!$Z$21*'TE BF'!$Z$49</f>
        <v>0</v>
      </c>
      <c r="AA21" s="26">
        <f>SUM($Z$21:$Z$21)</f>
        <v>0</v>
      </c>
      <c r="AB21" s="26">
        <f>SUMIF($L$4:$AA$4,"SUBTOTAL",$L$21:$AA$21)</f>
        <v>0</v>
      </c>
    </row>
    <row r="22" spans="1:28" ht="11.25" customHeight="1" x14ac:dyDescent="0.25">
      <c r="A22" s="113"/>
      <c r="B22" s="113"/>
      <c r="C22" s="113"/>
      <c r="D22" s="113"/>
      <c r="E22" s="113"/>
      <c r="F22" s="113"/>
      <c r="G22" s="29" t="s">
        <v>80</v>
      </c>
      <c r="H22" s="29" t="s">
        <v>66</v>
      </c>
      <c r="I22" s="29">
        <f>'MERCADO TE'!$U$19</f>
        <v>0</v>
      </c>
      <c r="J22" s="15"/>
      <c r="L22" s="26">
        <f>'TE BE'!$L$22*'TE BF'!$L$49</f>
        <v>0</v>
      </c>
      <c r="M22" s="26">
        <f>'TE BE'!$M$22*'TE BF'!$M$49</f>
        <v>0</v>
      </c>
      <c r="N22" s="26">
        <f>'TE BE'!$N$22*'TE BF'!$N$49</f>
        <v>0</v>
      </c>
      <c r="O22" s="26">
        <f>'TE BE'!$O$22*'TE BF'!$O$49</f>
        <v>0</v>
      </c>
      <c r="P22" s="26">
        <f>'TE BE'!$P$22*'TE BF'!$P$49</f>
        <v>0</v>
      </c>
      <c r="Q22" s="26">
        <f>SUM($L$22:$P$22)</f>
        <v>0</v>
      </c>
      <c r="R22" s="26">
        <f>'TE BE'!$R$22*'TE BF'!$R$49</f>
        <v>0</v>
      </c>
      <c r="S22" s="26">
        <f>SUM($R$22:$R$22)</f>
        <v>0</v>
      </c>
      <c r="T22" s="26">
        <f>'TE BE'!$T$22*'TE BF'!$T$49</f>
        <v>0</v>
      </c>
      <c r="U22" s="26">
        <f>'TE BE'!$U$22*'TE BF'!$U$49</f>
        <v>0</v>
      </c>
      <c r="V22" s="26">
        <f>'TE BE'!$V$22*'TE BF'!$V$49</f>
        <v>0</v>
      </c>
      <c r="W22" s="26">
        <f>SUM($T$22:$V$22)</f>
        <v>0</v>
      </c>
      <c r="X22" s="26">
        <f>'TE BE'!$AB$22*'TE BF'!$X$49</f>
        <v>0</v>
      </c>
      <c r="Y22" s="26">
        <f>SUM($X$22:$X$22)</f>
        <v>0</v>
      </c>
      <c r="Z22" s="26">
        <f>'TE BE'!$Z$22*'TE BF'!$Z$49</f>
        <v>0</v>
      </c>
      <c r="AA22" s="26">
        <f>SUM($Z$22:$Z$22)</f>
        <v>0</v>
      </c>
      <c r="AB22" s="26">
        <f>SUMIF($L$4:$AA$4,"SUBTOTAL",$L$22:$AA$22)</f>
        <v>0</v>
      </c>
    </row>
    <row r="23" spans="1:28" ht="11.25" customHeight="1" x14ac:dyDescent="0.25">
      <c r="A23" s="113"/>
      <c r="B23" s="113"/>
      <c r="C23" s="113"/>
      <c r="D23" s="113"/>
      <c r="E23" s="113"/>
      <c r="F23" s="113"/>
      <c r="G23" s="29" t="s">
        <v>68</v>
      </c>
      <c r="H23" s="29" t="s">
        <v>66</v>
      </c>
      <c r="I23" s="29">
        <f>'MERCADO TE'!$U$20</f>
        <v>0</v>
      </c>
      <c r="J23" s="15"/>
      <c r="L23" s="26">
        <f>'TE BE'!$L$23*'TE BF'!$L$49</f>
        <v>0</v>
      </c>
      <c r="M23" s="26">
        <f>'TE BE'!$M$23*'TE BF'!$M$49</f>
        <v>0</v>
      </c>
      <c r="N23" s="26">
        <f>'TE BE'!$N$23*'TE BF'!$N$49</f>
        <v>0</v>
      </c>
      <c r="O23" s="26">
        <f>'TE BE'!$O$23*'TE BF'!$O$49</f>
        <v>0</v>
      </c>
      <c r="P23" s="26">
        <f>'TE BE'!$P$23*'TE BF'!$P$49</f>
        <v>0</v>
      </c>
      <c r="Q23" s="26">
        <f>SUM($L$23:$P$23)</f>
        <v>0</v>
      </c>
      <c r="R23" s="26">
        <f>'TE BE'!$R$23*'TE BF'!$R$49</f>
        <v>0</v>
      </c>
      <c r="S23" s="26">
        <f>SUM($R$23:$R$23)</f>
        <v>0</v>
      </c>
      <c r="T23" s="26">
        <f>'TE BE'!$T$23*'TE BF'!$T$49</f>
        <v>0</v>
      </c>
      <c r="U23" s="26">
        <f>'TE BE'!$U$23*'TE BF'!$U$49</f>
        <v>0</v>
      </c>
      <c r="V23" s="26">
        <f>'TE BE'!$V$23*'TE BF'!$V$49</f>
        <v>0</v>
      </c>
      <c r="W23" s="26">
        <f>SUM($T$23:$V$23)</f>
        <v>0</v>
      </c>
      <c r="X23" s="26">
        <f>'TE BE'!$AB$23*'TE BF'!$X$49</f>
        <v>0</v>
      </c>
      <c r="Y23" s="26">
        <f>SUM($X$23:$X$23)</f>
        <v>0</v>
      </c>
      <c r="Z23" s="26">
        <f>'TE BE'!$Z$23*'TE BF'!$Z$49</f>
        <v>0</v>
      </c>
      <c r="AA23" s="26">
        <f>SUM($Z$23:$Z$23)</f>
        <v>0</v>
      </c>
      <c r="AB23" s="26">
        <f>SUMIF($L$4:$AA$4,"SUBTOTAL",$L$23:$AA$23)</f>
        <v>0</v>
      </c>
    </row>
    <row r="24" spans="1:28" ht="11.25" customHeight="1" x14ac:dyDescent="0.25">
      <c r="A24" s="113"/>
      <c r="B24" s="28" t="s">
        <v>69</v>
      </c>
      <c r="C24" s="28" t="s">
        <v>42</v>
      </c>
      <c r="D24" s="28" t="s">
        <v>25</v>
      </c>
      <c r="E24" s="28" t="s">
        <v>25</v>
      </c>
      <c r="F24" s="28" t="s">
        <v>25</v>
      </c>
      <c r="G24" s="29" t="s">
        <v>70</v>
      </c>
      <c r="H24" s="29" t="s">
        <v>66</v>
      </c>
      <c r="I24" s="29">
        <f>'MERCADO TE'!$U$21</f>
        <v>674.72400000000005</v>
      </c>
      <c r="J24" s="15"/>
      <c r="L24" s="26">
        <f>'TE BE'!$L$24*'TE BF'!$L$49</f>
        <v>0</v>
      </c>
      <c r="M24" s="26">
        <f>'TE BE'!$M$24*'TE BF'!$M$49</f>
        <v>0</v>
      </c>
      <c r="N24" s="26">
        <f>'TE BE'!$N$24*'TE BF'!$N$49</f>
        <v>0</v>
      </c>
      <c r="O24" s="26">
        <f>'TE BE'!$O$24*'TE BF'!$O$49</f>
        <v>0</v>
      </c>
      <c r="P24" s="26">
        <f>'TE BE'!$P$24*'TE BF'!$P$49</f>
        <v>0</v>
      </c>
      <c r="Q24" s="26">
        <f>SUM($L$24:$P$24)</f>
        <v>0</v>
      </c>
      <c r="R24" s="26">
        <f>'TE BE'!$R$24*'TE BF'!$R$49</f>
        <v>0</v>
      </c>
      <c r="S24" s="26">
        <f>SUM($R$24:$R$24)</f>
        <v>0</v>
      </c>
      <c r="T24" s="26">
        <f>'TE BE'!$T$24*'TE BF'!$T$49</f>
        <v>0</v>
      </c>
      <c r="U24" s="26">
        <f>'TE BE'!$U$24*'TE BF'!$U$49</f>
        <v>0</v>
      </c>
      <c r="V24" s="26">
        <f>'TE BE'!$V$24*'TE BF'!$V$49</f>
        <v>0</v>
      </c>
      <c r="W24" s="26">
        <f>SUM($T$24:$V$24)</f>
        <v>0</v>
      </c>
      <c r="X24" s="26">
        <f>'TE BE'!$AB$24*'TE BF'!$X$49</f>
        <v>0</v>
      </c>
      <c r="Y24" s="26">
        <f>SUM($X$24:$X$24)</f>
        <v>0</v>
      </c>
      <c r="Z24" s="26">
        <f>'TE BE'!$Z$24*'TE BF'!$Z$49</f>
        <v>0</v>
      </c>
      <c r="AA24" s="26">
        <f>SUM($Z$24:$Z$24)</f>
        <v>0</v>
      </c>
      <c r="AB24" s="26">
        <f>SUMIF($L$4:$AA$4,"SUBTOTAL",$L$24:$AA$24)</f>
        <v>0</v>
      </c>
    </row>
    <row r="25" spans="1:28" ht="11.25" customHeight="1" x14ac:dyDescent="0.25">
      <c r="A25" s="113"/>
      <c r="B25" s="113" t="s">
        <v>65</v>
      </c>
      <c r="C25" s="113" t="s">
        <v>42</v>
      </c>
      <c r="D25" s="113" t="s">
        <v>83</v>
      </c>
      <c r="E25" s="113" t="s">
        <v>25</v>
      </c>
      <c r="F25" s="113" t="s">
        <v>25</v>
      </c>
      <c r="G25" s="29" t="s">
        <v>67</v>
      </c>
      <c r="H25" s="29" t="s">
        <v>66</v>
      </c>
      <c r="I25" s="29">
        <f>'MERCADO TE'!$U$22</f>
        <v>0</v>
      </c>
      <c r="J25" s="15"/>
      <c r="L25" s="26">
        <f>'TE BE'!$L$25*'TE BF'!$L$49</f>
        <v>0</v>
      </c>
      <c r="M25" s="26">
        <f>'TE BE'!$M$25*'TE BF'!$M$49</f>
        <v>0</v>
      </c>
      <c r="N25" s="26">
        <f>'TE BE'!$N$25*'TE BF'!$N$49</f>
        <v>0</v>
      </c>
      <c r="O25" s="26">
        <f>'TE BE'!$O$25*'TE BF'!$O$49</f>
        <v>0</v>
      </c>
      <c r="P25" s="26">
        <f>'TE BE'!$P$25*'TE BF'!$P$49</f>
        <v>0</v>
      </c>
      <c r="Q25" s="26">
        <f>SUM($L$25:$P$25)</f>
        <v>0</v>
      </c>
      <c r="R25" s="26">
        <f>'TE BE'!$R$25*'TE BF'!$R$49</f>
        <v>0</v>
      </c>
      <c r="S25" s="26">
        <f>SUM($R$25:$R$25)</f>
        <v>0</v>
      </c>
      <c r="T25" s="26">
        <f>'TE BE'!$T$25*'TE BF'!$T$49</f>
        <v>0</v>
      </c>
      <c r="U25" s="26">
        <f>'TE BE'!$U$25*'TE BF'!$U$49</f>
        <v>0</v>
      </c>
      <c r="V25" s="26">
        <f>'TE BE'!$V$25*'TE BF'!$V$49</f>
        <v>0</v>
      </c>
      <c r="W25" s="26">
        <f>SUM($T$25:$V$25)</f>
        <v>0</v>
      </c>
      <c r="X25" s="26">
        <f>'TE BE'!$AB$25*'TE BF'!$X$49</f>
        <v>0</v>
      </c>
      <c r="Y25" s="26">
        <f>SUM($X$25:$X$25)</f>
        <v>0</v>
      </c>
      <c r="Z25" s="26">
        <f>'TE BE'!$Z$25*'TE BF'!$Z$49</f>
        <v>0</v>
      </c>
      <c r="AA25" s="26">
        <f>SUM($Z$25:$Z$25)</f>
        <v>0</v>
      </c>
      <c r="AB25" s="26">
        <f>SUMIF($L$4:$AA$4,"SUBTOTAL",$L$25:$AA$25)</f>
        <v>0</v>
      </c>
    </row>
    <row r="26" spans="1:28" ht="11.25" customHeight="1" x14ac:dyDescent="0.25">
      <c r="A26" s="113"/>
      <c r="B26" s="113"/>
      <c r="C26" s="113"/>
      <c r="D26" s="113"/>
      <c r="E26" s="113"/>
      <c r="F26" s="113"/>
      <c r="G26" s="29" t="s">
        <v>80</v>
      </c>
      <c r="H26" s="29" t="s">
        <v>66</v>
      </c>
      <c r="I26" s="29">
        <f>'MERCADO TE'!$U$23</f>
        <v>0</v>
      </c>
      <c r="J26" s="15"/>
      <c r="L26" s="26">
        <f>'TE BE'!$L$26*'TE BF'!$L$49</f>
        <v>0</v>
      </c>
      <c r="M26" s="26">
        <f>'TE BE'!$M$26*'TE BF'!$M$49</f>
        <v>0</v>
      </c>
      <c r="N26" s="26">
        <f>'TE BE'!$N$26*'TE BF'!$N$49</f>
        <v>0</v>
      </c>
      <c r="O26" s="26">
        <f>'TE BE'!$O$26*'TE BF'!$O$49</f>
        <v>0</v>
      </c>
      <c r="P26" s="26">
        <f>'TE BE'!$P$26*'TE BF'!$P$49</f>
        <v>0</v>
      </c>
      <c r="Q26" s="26">
        <f>SUM($L$26:$P$26)</f>
        <v>0</v>
      </c>
      <c r="R26" s="26">
        <f>'TE BE'!$R$26*'TE BF'!$R$49</f>
        <v>0</v>
      </c>
      <c r="S26" s="26">
        <f>SUM($R$26:$R$26)</f>
        <v>0</v>
      </c>
      <c r="T26" s="26">
        <f>'TE BE'!$T$26*'TE BF'!$T$49</f>
        <v>0</v>
      </c>
      <c r="U26" s="26">
        <f>'TE BE'!$U$26*'TE BF'!$U$49</f>
        <v>0</v>
      </c>
      <c r="V26" s="26">
        <f>'TE BE'!$V$26*'TE BF'!$V$49</f>
        <v>0</v>
      </c>
      <c r="W26" s="26">
        <f>SUM($T$26:$V$26)</f>
        <v>0</v>
      </c>
      <c r="X26" s="26">
        <f>'TE BE'!$AB$26*'TE BF'!$X$49</f>
        <v>0</v>
      </c>
      <c r="Y26" s="26">
        <f>SUM($X$26:$X$26)</f>
        <v>0</v>
      </c>
      <c r="Z26" s="26">
        <f>'TE BE'!$Z$26*'TE BF'!$Z$49</f>
        <v>0</v>
      </c>
      <c r="AA26" s="26">
        <f>SUM($Z$26:$Z$26)</f>
        <v>0</v>
      </c>
      <c r="AB26" s="26">
        <f>SUMIF($L$4:$AA$4,"SUBTOTAL",$L$26:$AA$26)</f>
        <v>0</v>
      </c>
    </row>
    <row r="27" spans="1:28" ht="11.25" customHeight="1" x14ac:dyDescent="0.25">
      <c r="A27" s="113"/>
      <c r="B27" s="113"/>
      <c r="C27" s="113"/>
      <c r="D27" s="113"/>
      <c r="E27" s="113"/>
      <c r="F27" s="113"/>
      <c r="G27" s="29" t="s">
        <v>68</v>
      </c>
      <c r="H27" s="29" t="s">
        <v>66</v>
      </c>
      <c r="I27" s="29">
        <f>'MERCADO TE'!$U$24</f>
        <v>0</v>
      </c>
      <c r="J27" s="15"/>
      <c r="L27" s="26">
        <f>'TE BE'!$L$27*'TE BF'!$L$49</f>
        <v>0</v>
      </c>
      <c r="M27" s="26">
        <f>'TE BE'!$M$27*'TE BF'!$M$49</f>
        <v>0</v>
      </c>
      <c r="N27" s="26">
        <f>'TE BE'!$N$27*'TE BF'!$N$49</f>
        <v>0</v>
      </c>
      <c r="O27" s="26">
        <f>'TE BE'!$O$27*'TE BF'!$O$49</f>
        <v>0</v>
      </c>
      <c r="P27" s="26">
        <f>'TE BE'!$P$27*'TE BF'!$P$49</f>
        <v>0</v>
      </c>
      <c r="Q27" s="26">
        <f>SUM($L$27:$P$27)</f>
        <v>0</v>
      </c>
      <c r="R27" s="26">
        <f>'TE BE'!$R$27*'TE BF'!$R$49</f>
        <v>0</v>
      </c>
      <c r="S27" s="26">
        <f>SUM($R$27:$R$27)</f>
        <v>0</v>
      </c>
      <c r="T27" s="26">
        <f>'TE BE'!$T$27*'TE BF'!$T$49</f>
        <v>0</v>
      </c>
      <c r="U27" s="26">
        <f>'TE BE'!$U$27*'TE BF'!$U$49</f>
        <v>0</v>
      </c>
      <c r="V27" s="26">
        <f>'TE BE'!$V$27*'TE BF'!$V$49</f>
        <v>0</v>
      </c>
      <c r="W27" s="26">
        <f>SUM($T$27:$V$27)</f>
        <v>0</v>
      </c>
      <c r="X27" s="26">
        <f>'TE BE'!$AB$27*'TE BF'!$X$49</f>
        <v>0</v>
      </c>
      <c r="Y27" s="26">
        <f>SUM($X$27:$X$27)</f>
        <v>0</v>
      </c>
      <c r="Z27" s="26">
        <f>'TE BE'!$Z$27*'TE BF'!$Z$49</f>
        <v>0</v>
      </c>
      <c r="AA27" s="26">
        <f>SUM($Z$27:$Z$27)</f>
        <v>0</v>
      </c>
      <c r="AB27" s="26">
        <f>SUMIF($L$4:$AA$4,"SUBTOTAL",$L$27:$AA$27)</f>
        <v>0</v>
      </c>
    </row>
    <row r="28" spans="1:28" ht="11.25" customHeight="1" x14ac:dyDescent="0.25">
      <c r="A28" s="113"/>
      <c r="B28" s="28" t="s">
        <v>69</v>
      </c>
      <c r="C28" s="28" t="s">
        <v>42</v>
      </c>
      <c r="D28" s="28" t="s">
        <v>83</v>
      </c>
      <c r="E28" s="28" t="s">
        <v>25</v>
      </c>
      <c r="F28" s="28" t="s">
        <v>25</v>
      </c>
      <c r="G28" s="29" t="s">
        <v>70</v>
      </c>
      <c r="H28" s="29" t="s">
        <v>66</v>
      </c>
      <c r="I28" s="29">
        <f>'MERCADO TE'!$U$25</f>
        <v>0</v>
      </c>
      <c r="J28" s="15"/>
      <c r="L28" s="26">
        <f>'TE BE'!$L$28*'TE BF'!$L$49</f>
        <v>0</v>
      </c>
      <c r="M28" s="26">
        <f>'TE BE'!$M$28*'TE BF'!$M$49</f>
        <v>0</v>
      </c>
      <c r="N28" s="26">
        <f>'TE BE'!$N$28*'TE BF'!$N$49</f>
        <v>0</v>
      </c>
      <c r="O28" s="26">
        <f>'TE BE'!$O$28*'TE BF'!$O$49</f>
        <v>0</v>
      </c>
      <c r="P28" s="26">
        <f>'TE BE'!$P$28*'TE BF'!$P$49</f>
        <v>0</v>
      </c>
      <c r="Q28" s="26">
        <f>SUM($L$28:$P$28)</f>
        <v>0</v>
      </c>
      <c r="R28" s="26">
        <f>'TE BE'!$R$28*'TE BF'!$R$49</f>
        <v>0</v>
      </c>
      <c r="S28" s="26">
        <f>SUM($R$28:$R$28)</f>
        <v>0</v>
      </c>
      <c r="T28" s="26">
        <f>'TE BE'!$T$28*'TE BF'!$T$49</f>
        <v>0</v>
      </c>
      <c r="U28" s="26">
        <f>'TE BE'!$U$28*'TE BF'!$U$49</f>
        <v>0</v>
      </c>
      <c r="V28" s="26">
        <f>'TE BE'!$V$28*'TE BF'!$V$49</f>
        <v>0</v>
      </c>
      <c r="W28" s="26">
        <f>SUM($T$28:$V$28)</f>
        <v>0</v>
      </c>
      <c r="X28" s="26">
        <f>'TE BE'!$AB$28*'TE BF'!$X$49</f>
        <v>0</v>
      </c>
      <c r="Y28" s="26">
        <f>SUM($X$28:$X$28)</f>
        <v>0</v>
      </c>
      <c r="Z28" s="26">
        <f>'TE BE'!$Z$28*'TE BF'!$Z$49</f>
        <v>0</v>
      </c>
      <c r="AA28" s="26">
        <f>SUM($Z$28:$Z$28)</f>
        <v>0</v>
      </c>
      <c r="AB28" s="26">
        <f>SUMIF($L$4:$AA$4,"SUBTOTAL",$L$28:$AA$28)</f>
        <v>0</v>
      </c>
    </row>
    <row r="29" spans="1:28" ht="11.25" customHeight="1" x14ac:dyDescent="0.25">
      <c r="A29" s="113"/>
      <c r="B29" s="113" t="s">
        <v>65</v>
      </c>
      <c r="C29" s="113" t="s">
        <v>42</v>
      </c>
      <c r="D29" s="113" t="s">
        <v>84</v>
      </c>
      <c r="E29" s="113" t="s">
        <v>25</v>
      </c>
      <c r="F29" s="113" t="s">
        <v>25</v>
      </c>
      <c r="G29" s="29" t="s">
        <v>67</v>
      </c>
      <c r="H29" s="29" t="s">
        <v>66</v>
      </c>
      <c r="I29" s="29">
        <f>'MERCADO TE'!$U$26</f>
        <v>0</v>
      </c>
      <c r="J29" s="15"/>
      <c r="L29" s="26">
        <f>'TE BE'!$L$29*'TE BF'!$L$49</f>
        <v>0</v>
      </c>
      <c r="M29" s="26">
        <f>'TE BE'!$M$29*'TE BF'!$M$49</f>
        <v>0</v>
      </c>
      <c r="N29" s="26">
        <f>'TE BE'!$N$29*'TE BF'!$N$49</f>
        <v>0</v>
      </c>
      <c r="O29" s="26">
        <f>'TE BE'!$O$29*'TE BF'!$O$49</f>
        <v>0</v>
      </c>
      <c r="P29" s="26">
        <f>'TE BE'!$P$29*'TE BF'!$P$49</f>
        <v>0</v>
      </c>
      <c r="Q29" s="26">
        <f>SUM($L$29:$P$29)</f>
        <v>0</v>
      </c>
      <c r="R29" s="26">
        <f>'TE BE'!$R$29*'TE BF'!$R$49</f>
        <v>0</v>
      </c>
      <c r="S29" s="26">
        <f>SUM($R$29:$R$29)</f>
        <v>0</v>
      </c>
      <c r="T29" s="26">
        <f>'TE BE'!$T$29*'TE BF'!$T$49</f>
        <v>0</v>
      </c>
      <c r="U29" s="26">
        <f>'TE BE'!$U$29*'TE BF'!$U$49</f>
        <v>0</v>
      </c>
      <c r="V29" s="26">
        <f>'TE BE'!$V$29*'TE BF'!$V$49</f>
        <v>0</v>
      </c>
      <c r="W29" s="26">
        <f>SUM($T$29:$V$29)</f>
        <v>0</v>
      </c>
      <c r="X29" s="26">
        <f>'TE BE'!$AB$29*'TE BF'!$X$49</f>
        <v>0</v>
      </c>
      <c r="Y29" s="26">
        <f>SUM($X$29:$X$29)</f>
        <v>0</v>
      </c>
      <c r="Z29" s="26">
        <f>'TE BE'!$Z$29*'TE BF'!$Z$49</f>
        <v>0</v>
      </c>
      <c r="AA29" s="26">
        <f>SUM($Z$29:$Z$29)</f>
        <v>0</v>
      </c>
      <c r="AB29" s="26">
        <f>SUMIF($L$4:$AA$4,"SUBTOTAL",$L$29:$AA$29)</f>
        <v>0</v>
      </c>
    </row>
    <row r="30" spans="1:28" ht="11.25" customHeight="1" x14ac:dyDescent="0.25">
      <c r="A30" s="113"/>
      <c r="B30" s="113"/>
      <c r="C30" s="113"/>
      <c r="D30" s="113"/>
      <c r="E30" s="113"/>
      <c r="F30" s="113"/>
      <c r="G30" s="29" t="s">
        <v>80</v>
      </c>
      <c r="H30" s="29" t="s">
        <v>66</v>
      </c>
      <c r="I30" s="29">
        <f>'MERCADO TE'!$U$27</f>
        <v>0</v>
      </c>
      <c r="J30" s="15"/>
      <c r="L30" s="26">
        <f>'TE BE'!$L$30*'TE BF'!$L$49</f>
        <v>0</v>
      </c>
      <c r="M30" s="26">
        <f>'TE BE'!$M$30*'TE BF'!$M$49</f>
        <v>0</v>
      </c>
      <c r="N30" s="26">
        <f>'TE BE'!$N$30*'TE BF'!$N$49</f>
        <v>0</v>
      </c>
      <c r="O30" s="26">
        <f>'TE BE'!$O$30*'TE BF'!$O$49</f>
        <v>0</v>
      </c>
      <c r="P30" s="26">
        <f>'TE BE'!$P$30*'TE BF'!$P$49</f>
        <v>0</v>
      </c>
      <c r="Q30" s="26">
        <f>SUM($L$30:$P$30)</f>
        <v>0</v>
      </c>
      <c r="R30" s="26">
        <f>'TE BE'!$R$30*'TE BF'!$R$49</f>
        <v>0</v>
      </c>
      <c r="S30" s="26">
        <f>SUM($R$30:$R$30)</f>
        <v>0</v>
      </c>
      <c r="T30" s="26">
        <f>'TE BE'!$T$30*'TE BF'!$T$49</f>
        <v>0</v>
      </c>
      <c r="U30" s="26">
        <f>'TE BE'!$U$30*'TE BF'!$U$49</f>
        <v>0</v>
      </c>
      <c r="V30" s="26">
        <f>'TE BE'!$V$30*'TE BF'!$V$49</f>
        <v>0</v>
      </c>
      <c r="W30" s="26">
        <f>SUM($T$30:$V$30)</f>
        <v>0</v>
      </c>
      <c r="X30" s="26">
        <f>'TE BE'!$AB$30*'TE BF'!$X$49</f>
        <v>0</v>
      </c>
      <c r="Y30" s="26">
        <f>SUM($X$30:$X$30)</f>
        <v>0</v>
      </c>
      <c r="Z30" s="26">
        <f>'TE BE'!$Z$30*'TE BF'!$Z$49</f>
        <v>0</v>
      </c>
      <c r="AA30" s="26">
        <f>SUM($Z$30:$Z$30)</f>
        <v>0</v>
      </c>
      <c r="AB30" s="26">
        <f>SUMIF($L$4:$AA$4,"SUBTOTAL",$L$30:$AA$30)</f>
        <v>0</v>
      </c>
    </row>
    <row r="31" spans="1:28" ht="11.25" customHeight="1" x14ac:dyDescent="0.25">
      <c r="A31" s="113"/>
      <c r="B31" s="113"/>
      <c r="C31" s="113"/>
      <c r="D31" s="113"/>
      <c r="E31" s="113"/>
      <c r="F31" s="113"/>
      <c r="G31" s="29" t="s">
        <v>68</v>
      </c>
      <c r="H31" s="29" t="s">
        <v>66</v>
      </c>
      <c r="I31" s="29">
        <f>'MERCADO TE'!$U$28</f>
        <v>0</v>
      </c>
      <c r="J31" s="15"/>
      <c r="L31" s="26">
        <f>'TE BE'!$L$31*'TE BF'!$L$49</f>
        <v>0</v>
      </c>
      <c r="M31" s="26">
        <f>'TE BE'!$M$31*'TE BF'!$M$49</f>
        <v>0</v>
      </c>
      <c r="N31" s="26">
        <f>'TE BE'!$N$31*'TE BF'!$N$49</f>
        <v>0</v>
      </c>
      <c r="O31" s="26">
        <f>'TE BE'!$O$31*'TE BF'!$O$49</f>
        <v>0</v>
      </c>
      <c r="P31" s="26">
        <f>'TE BE'!$P$31*'TE BF'!$P$49</f>
        <v>0</v>
      </c>
      <c r="Q31" s="26">
        <f>SUM($L$31:$P$31)</f>
        <v>0</v>
      </c>
      <c r="R31" s="26">
        <f>'TE BE'!$R$31*'TE BF'!$R$49</f>
        <v>0</v>
      </c>
      <c r="S31" s="26">
        <f>SUM($R$31:$R$31)</f>
        <v>0</v>
      </c>
      <c r="T31" s="26">
        <f>'TE BE'!$T$31*'TE BF'!$T$49</f>
        <v>0</v>
      </c>
      <c r="U31" s="26">
        <f>'TE BE'!$U$31*'TE BF'!$U$49</f>
        <v>0</v>
      </c>
      <c r="V31" s="26">
        <f>'TE BE'!$V$31*'TE BF'!$V$49</f>
        <v>0</v>
      </c>
      <c r="W31" s="26">
        <f>SUM($T$31:$V$31)</f>
        <v>0</v>
      </c>
      <c r="X31" s="26">
        <f>'TE BE'!$AB$31*'TE BF'!$X$49</f>
        <v>0</v>
      </c>
      <c r="Y31" s="26">
        <f>SUM($X$31:$X$31)</f>
        <v>0</v>
      </c>
      <c r="Z31" s="26">
        <f>'TE BE'!$Z$31*'TE BF'!$Z$49</f>
        <v>0</v>
      </c>
      <c r="AA31" s="26">
        <f>SUM($Z$31:$Z$31)</f>
        <v>0</v>
      </c>
      <c r="AB31" s="26">
        <f>SUMIF($L$4:$AA$4,"SUBTOTAL",$L$31:$AA$31)</f>
        <v>0</v>
      </c>
    </row>
    <row r="32" spans="1:28" ht="11.25" customHeight="1" x14ac:dyDescent="0.25">
      <c r="A32" s="113"/>
      <c r="B32" s="28" t="s">
        <v>69</v>
      </c>
      <c r="C32" s="28" t="s">
        <v>42</v>
      </c>
      <c r="D32" s="28" t="s">
        <v>84</v>
      </c>
      <c r="E32" s="28" t="s">
        <v>25</v>
      </c>
      <c r="F32" s="28" t="s">
        <v>25</v>
      </c>
      <c r="G32" s="29" t="s">
        <v>70</v>
      </c>
      <c r="H32" s="29" t="s">
        <v>66</v>
      </c>
      <c r="I32" s="29">
        <f>'MERCADO TE'!$U$29</f>
        <v>0</v>
      </c>
      <c r="J32" s="15"/>
      <c r="L32" s="26">
        <f>'TE BE'!$L$32*'TE BF'!$L$49</f>
        <v>0</v>
      </c>
      <c r="M32" s="26">
        <f>'TE BE'!$M$32*'TE BF'!$M$49</f>
        <v>0</v>
      </c>
      <c r="N32" s="26">
        <f>'TE BE'!$N$32*'TE BF'!$N$49</f>
        <v>0</v>
      </c>
      <c r="O32" s="26">
        <f>'TE BE'!$O$32*'TE BF'!$O$49</f>
        <v>0</v>
      </c>
      <c r="P32" s="26">
        <f>'TE BE'!$P$32*'TE BF'!$P$49</f>
        <v>0</v>
      </c>
      <c r="Q32" s="26">
        <f>SUM($L$32:$P$32)</f>
        <v>0</v>
      </c>
      <c r="R32" s="26">
        <f>'TE BE'!$R$32*'TE BF'!$R$49</f>
        <v>0</v>
      </c>
      <c r="S32" s="26">
        <f>SUM($R$32:$R$32)</f>
        <v>0</v>
      </c>
      <c r="T32" s="26">
        <f>'TE BE'!$T$32*'TE BF'!$T$49</f>
        <v>0</v>
      </c>
      <c r="U32" s="26">
        <f>'TE BE'!$U$32*'TE BF'!$U$49</f>
        <v>0</v>
      </c>
      <c r="V32" s="26">
        <f>'TE BE'!$V$32*'TE BF'!$V$49</f>
        <v>0</v>
      </c>
      <c r="W32" s="26">
        <f>SUM($T$32:$V$32)</f>
        <v>0</v>
      </c>
      <c r="X32" s="26">
        <f>'TE BE'!$AB$32*'TE BF'!$X$49</f>
        <v>0</v>
      </c>
      <c r="Y32" s="26">
        <f>SUM($X$32:$X$32)</f>
        <v>0</v>
      </c>
      <c r="Z32" s="26">
        <f>'TE BE'!$Z$32*'TE BF'!$Z$49</f>
        <v>0</v>
      </c>
      <c r="AA32" s="26">
        <f>SUM($Z$32:$Z$32)</f>
        <v>0</v>
      </c>
      <c r="AB32" s="26">
        <f>SUMIF($L$4:$AA$4,"SUBTOTAL",$L$32:$AA$32)</f>
        <v>0</v>
      </c>
    </row>
    <row r="33" spans="1:28" ht="11.25" customHeight="1" x14ac:dyDescent="0.25">
      <c r="A33" s="113"/>
      <c r="B33" s="113" t="s">
        <v>81</v>
      </c>
      <c r="C33" s="113" t="s">
        <v>42</v>
      </c>
      <c r="D33" s="28" t="s">
        <v>25</v>
      </c>
      <c r="E33" s="28" t="s">
        <v>25</v>
      </c>
      <c r="F33" s="28" t="s">
        <v>25</v>
      </c>
      <c r="G33" s="29" t="s">
        <v>70</v>
      </c>
      <c r="H33" s="29" t="s">
        <v>66</v>
      </c>
      <c r="I33" s="29">
        <f>'MERCADO TE'!$U$30</f>
        <v>0</v>
      </c>
      <c r="J33" s="15"/>
      <c r="L33" s="26">
        <f>'TE BE'!$L$33*'TE BF'!$L$49</f>
        <v>0</v>
      </c>
      <c r="M33" s="26">
        <f>'TE BE'!$M$33*'TE BF'!$M$49</f>
        <v>0</v>
      </c>
      <c r="N33" s="26">
        <f>'TE BE'!$N$33*'TE BF'!$N$49</f>
        <v>0</v>
      </c>
      <c r="O33" s="26">
        <f>'TE BE'!$O$33*'TE BF'!$O$49</f>
        <v>0</v>
      </c>
      <c r="P33" s="26">
        <f>'TE BE'!$P$33*'TE BF'!$P$49</f>
        <v>0</v>
      </c>
      <c r="Q33" s="26">
        <f>SUM($L$33:$P$33)</f>
        <v>0</v>
      </c>
      <c r="R33" s="26">
        <f>'TE BE'!$R$33*'TE BF'!$R$49</f>
        <v>0</v>
      </c>
      <c r="S33" s="26">
        <f>SUM($R$33:$R$33)</f>
        <v>0</v>
      </c>
      <c r="T33" s="26">
        <f>'TE BE'!$T$33*'TE BF'!$T$49</f>
        <v>0</v>
      </c>
      <c r="U33" s="26">
        <f>'TE BE'!$U$33*'TE BF'!$U$49</f>
        <v>0</v>
      </c>
      <c r="V33" s="26">
        <f>'TE BE'!$V$33*'TE BF'!$V$49</f>
        <v>0</v>
      </c>
      <c r="W33" s="26">
        <f>SUM($T$33:$V$33)</f>
        <v>0</v>
      </c>
      <c r="X33" s="26">
        <f>'TE BE'!$AB$33*'TE BF'!$X$49</f>
        <v>0</v>
      </c>
      <c r="Y33" s="26">
        <f>SUM($X$33:$X$33)</f>
        <v>0</v>
      </c>
      <c r="Z33" s="26">
        <f>'TE BE'!$Z$33*'TE BF'!$Z$49</f>
        <v>0</v>
      </c>
      <c r="AA33" s="26">
        <f>SUM($Z$33:$Z$33)</f>
        <v>0</v>
      </c>
      <c r="AB33" s="26">
        <f>SUMIF($L$4:$AA$4,"SUBTOTAL",$L$33:$AA$33)</f>
        <v>0</v>
      </c>
    </row>
    <row r="34" spans="1:28" ht="11.25" customHeight="1" x14ac:dyDescent="0.25">
      <c r="A34" s="113"/>
      <c r="B34" s="113"/>
      <c r="C34" s="113"/>
      <c r="D34" s="28" t="s">
        <v>83</v>
      </c>
      <c r="E34" s="28" t="s">
        <v>25</v>
      </c>
      <c r="F34" s="28" t="s">
        <v>25</v>
      </c>
      <c r="G34" s="29" t="s">
        <v>70</v>
      </c>
      <c r="H34" s="29" t="s">
        <v>66</v>
      </c>
      <c r="I34" s="29">
        <f>'MERCADO TE'!$U$31</f>
        <v>0</v>
      </c>
      <c r="J34" s="15"/>
      <c r="L34" s="26">
        <f>'TE BE'!$L$34*'TE BF'!$L$49</f>
        <v>0</v>
      </c>
      <c r="M34" s="26">
        <f>'TE BE'!$M$34*'TE BF'!$M$49</f>
        <v>0</v>
      </c>
      <c r="N34" s="26">
        <f>'TE BE'!$N$34*'TE BF'!$N$49</f>
        <v>0</v>
      </c>
      <c r="O34" s="26">
        <f>'TE BE'!$O$34*'TE BF'!$O$49</f>
        <v>0</v>
      </c>
      <c r="P34" s="26">
        <f>'TE BE'!$P$34*'TE BF'!$P$49</f>
        <v>0</v>
      </c>
      <c r="Q34" s="26">
        <f>SUM($L$34:$P$34)</f>
        <v>0</v>
      </c>
      <c r="R34" s="26">
        <f>'TE BE'!$R$34*'TE BF'!$R$49</f>
        <v>0</v>
      </c>
      <c r="S34" s="26">
        <f>SUM($R$34:$R$34)</f>
        <v>0</v>
      </c>
      <c r="T34" s="26">
        <f>'TE BE'!$T$34*'TE BF'!$T$49</f>
        <v>0</v>
      </c>
      <c r="U34" s="26">
        <f>'TE BE'!$U$34*'TE BF'!$U$49</f>
        <v>0</v>
      </c>
      <c r="V34" s="26">
        <f>'TE BE'!$V$34*'TE BF'!$V$49</f>
        <v>0</v>
      </c>
      <c r="W34" s="26">
        <f>SUM($T$34:$V$34)</f>
        <v>0</v>
      </c>
      <c r="X34" s="26">
        <f>'TE BE'!$AB$34*'TE BF'!$X$49</f>
        <v>0</v>
      </c>
      <c r="Y34" s="26">
        <f>SUM($X$34:$X$34)</f>
        <v>0</v>
      </c>
      <c r="Z34" s="26">
        <f>'TE BE'!$Z$34*'TE BF'!$Z$49</f>
        <v>0</v>
      </c>
      <c r="AA34" s="26">
        <f>SUM($Z$34:$Z$34)</f>
        <v>0</v>
      </c>
      <c r="AB34" s="26">
        <f>SUMIF($L$4:$AA$4,"SUBTOTAL",$L$34:$AA$34)</f>
        <v>0</v>
      </c>
    </row>
    <row r="35" spans="1:28" ht="11.25" customHeight="1" x14ac:dyDescent="0.25">
      <c r="A35" s="113"/>
      <c r="B35" s="113"/>
      <c r="C35" s="113"/>
      <c r="D35" s="28" t="s">
        <v>84</v>
      </c>
      <c r="E35" s="28" t="s">
        <v>25</v>
      </c>
      <c r="F35" s="28" t="s">
        <v>25</v>
      </c>
      <c r="G35" s="29" t="s">
        <v>70</v>
      </c>
      <c r="H35" s="29" t="s">
        <v>66</v>
      </c>
      <c r="I35" s="29">
        <f>'MERCADO TE'!$U$32</f>
        <v>0</v>
      </c>
      <c r="J35" s="15"/>
      <c r="L35" s="26">
        <f>'TE BE'!$L$35*'TE BF'!$L$49</f>
        <v>0</v>
      </c>
      <c r="M35" s="26">
        <f>'TE BE'!$M$35*'TE BF'!$M$49</f>
        <v>0</v>
      </c>
      <c r="N35" s="26">
        <f>'TE BE'!$N$35*'TE BF'!$N$49</f>
        <v>0</v>
      </c>
      <c r="O35" s="26">
        <f>'TE BE'!$O$35*'TE BF'!$O$49</f>
        <v>0</v>
      </c>
      <c r="P35" s="26">
        <f>'TE BE'!$P$35*'TE BF'!$P$49</f>
        <v>0</v>
      </c>
      <c r="Q35" s="26">
        <f>SUM($L$35:$P$35)</f>
        <v>0</v>
      </c>
      <c r="R35" s="26">
        <f>'TE BE'!$R$35*'TE BF'!$R$49</f>
        <v>0</v>
      </c>
      <c r="S35" s="26">
        <f>SUM($R$35:$R$35)</f>
        <v>0</v>
      </c>
      <c r="T35" s="26">
        <f>'TE BE'!$T$35*'TE BF'!$T$49</f>
        <v>0</v>
      </c>
      <c r="U35" s="26">
        <f>'TE BE'!$U$35*'TE BF'!$U$49</f>
        <v>0</v>
      </c>
      <c r="V35" s="26">
        <f>'TE BE'!$V$35*'TE BF'!$V$49</f>
        <v>0</v>
      </c>
      <c r="W35" s="26">
        <f>SUM($T$35:$V$35)</f>
        <v>0</v>
      </c>
      <c r="X35" s="26">
        <f>'TE BE'!$AB$35*'TE BF'!$X$49</f>
        <v>0</v>
      </c>
      <c r="Y35" s="26">
        <f>SUM($X$35:$X$35)</f>
        <v>0</v>
      </c>
      <c r="Z35" s="26">
        <f>'TE BE'!$Z$35*'TE BF'!$Z$49</f>
        <v>0</v>
      </c>
      <c r="AA35" s="26">
        <f>SUM($Z$35:$Z$35)</f>
        <v>0</v>
      </c>
      <c r="AB35" s="26">
        <f>SUMIF($L$4:$AA$4,"SUBTOTAL",$L$35:$AA$35)</f>
        <v>0</v>
      </c>
    </row>
    <row r="36" spans="1:28" ht="11.25" customHeight="1" x14ac:dyDescent="0.25">
      <c r="A36" s="113" t="s">
        <v>37</v>
      </c>
      <c r="B36" s="113" t="s">
        <v>65</v>
      </c>
      <c r="C36" s="113" t="s">
        <v>25</v>
      </c>
      <c r="D36" s="113" t="s">
        <v>25</v>
      </c>
      <c r="E36" s="113" t="s">
        <v>25</v>
      </c>
      <c r="F36" s="113" t="s">
        <v>25</v>
      </c>
      <c r="G36" s="29" t="s">
        <v>67</v>
      </c>
      <c r="H36" s="29" t="s">
        <v>66</v>
      </c>
      <c r="I36" s="29">
        <f>'MERCADO TE'!$U$33</f>
        <v>0</v>
      </c>
      <c r="J36" s="15"/>
      <c r="L36" s="26">
        <f>'TE BE'!$L$36*'TE BF'!$L$49</f>
        <v>0</v>
      </c>
      <c r="M36" s="26">
        <f>'TE BE'!$M$36*'TE BF'!$M$49</f>
        <v>0</v>
      </c>
      <c r="N36" s="26">
        <f>'TE BE'!$N$36*'TE BF'!$N$49</f>
        <v>0</v>
      </c>
      <c r="O36" s="26">
        <f>'TE BE'!$O$36*'TE BF'!$O$49</f>
        <v>0</v>
      </c>
      <c r="P36" s="26">
        <f>'TE BE'!$P$36*'TE BF'!$P$49</f>
        <v>0</v>
      </c>
      <c r="Q36" s="26">
        <f>SUM($L$36:$P$36)</f>
        <v>0</v>
      </c>
      <c r="R36" s="26">
        <f>'TE BE'!$R$36*'TE BF'!$R$49</f>
        <v>0</v>
      </c>
      <c r="S36" s="26">
        <f>SUM($R$36:$R$36)</f>
        <v>0</v>
      </c>
      <c r="T36" s="26">
        <f>'TE BE'!$T$36*'TE BF'!$T$49</f>
        <v>0</v>
      </c>
      <c r="U36" s="26">
        <f>'TE BE'!$U$36*'TE BF'!$U$49</f>
        <v>0</v>
      </c>
      <c r="V36" s="26">
        <f>'TE BE'!$V$36*'TE BF'!$V$49</f>
        <v>0</v>
      </c>
      <c r="W36" s="26">
        <f>SUM($T$36:$V$36)</f>
        <v>0</v>
      </c>
      <c r="X36" s="26">
        <f>'TE BE'!$AB$36*'TE BF'!$X$49</f>
        <v>0</v>
      </c>
      <c r="Y36" s="26">
        <f>SUM($X$36:$X$36)</f>
        <v>0</v>
      </c>
      <c r="Z36" s="26">
        <f>'TE BE'!$Z$36*'TE BF'!$Z$49</f>
        <v>0</v>
      </c>
      <c r="AA36" s="26">
        <f>SUM($Z$36:$Z$36)</f>
        <v>0</v>
      </c>
      <c r="AB36" s="26">
        <f>SUMIF($L$4:$AA$4,"SUBTOTAL",$L$36:$AA$36)</f>
        <v>0</v>
      </c>
    </row>
    <row r="37" spans="1:28" ht="11.25" customHeight="1" x14ac:dyDescent="0.25">
      <c r="A37" s="113"/>
      <c r="B37" s="113"/>
      <c r="C37" s="113"/>
      <c r="D37" s="113"/>
      <c r="E37" s="113"/>
      <c r="F37" s="113"/>
      <c r="G37" s="29" t="s">
        <v>80</v>
      </c>
      <c r="H37" s="29" t="s">
        <v>66</v>
      </c>
      <c r="I37" s="29">
        <f>'MERCADO TE'!$U$34</f>
        <v>0</v>
      </c>
      <c r="J37" s="15"/>
      <c r="L37" s="26">
        <f>'TE BE'!$L$37*'TE BF'!$L$49</f>
        <v>0</v>
      </c>
      <c r="M37" s="26">
        <f>'TE BE'!$M$37*'TE BF'!$M$49</f>
        <v>0</v>
      </c>
      <c r="N37" s="26">
        <f>'TE BE'!$N$37*'TE BF'!$N$49</f>
        <v>0</v>
      </c>
      <c r="O37" s="26">
        <f>'TE BE'!$O$37*'TE BF'!$O$49</f>
        <v>0</v>
      </c>
      <c r="P37" s="26">
        <f>'TE BE'!$P$37*'TE BF'!$P$49</f>
        <v>0</v>
      </c>
      <c r="Q37" s="26">
        <f>SUM($L$37:$P$37)</f>
        <v>0</v>
      </c>
      <c r="R37" s="26">
        <f>'TE BE'!$R$37*'TE BF'!$R$49</f>
        <v>0</v>
      </c>
      <c r="S37" s="26">
        <f>SUM($R$37:$R$37)</f>
        <v>0</v>
      </c>
      <c r="T37" s="26">
        <f>'TE BE'!$T$37*'TE BF'!$T$49</f>
        <v>0</v>
      </c>
      <c r="U37" s="26">
        <f>'TE BE'!$U$37*'TE BF'!$U$49</f>
        <v>0</v>
      </c>
      <c r="V37" s="26">
        <f>'TE BE'!$V$37*'TE BF'!$V$49</f>
        <v>0</v>
      </c>
      <c r="W37" s="26">
        <f>SUM($T$37:$V$37)</f>
        <v>0</v>
      </c>
      <c r="X37" s="26">
        <f>'TE BE'!$AB$37*'TE BF'!$X$49</f>
        <v>0</v>
      </c>
      <c r="Y37" s="26">
        <f>SUM($X$37:$X$37)</f>
        <v>0</v>
      </c>
      <c r="Z37" s="26">
        <f>'TE BE'!$Z$37*'TE BF'!$Z$49</f>
        <v>0</v>
      </c>
      <c r="AA37" s="26">
        <f>SUM($Z$37:$Z$37)</f>
        <v>0</v>
      </c>
      <c r="AB37" s="26">
        <f>SUMIF($L$4:$AA$4,"SUBTOTAL",$L$37:$AA$37)</f>
        <v>0</v>
      </c>
    </row>
    <row r="38" spans="1:28" ht="11.25" customHeight="1" x14ac:dyDescent="0.25">
      <c r="A38" s="113"/>
      <c r="B38" s="113"/>
      <c r="C38" s="113"/>
      <c r="D38" s="113"/>
      <c r="E38" s="113"/>
      <c r="F38" s="113"/>
      <c r="G38" s="29" t="s">
        <v>68</v>
      </c>
      <c r="H38" s="29" t="s">
        <v>66</v>
      </c>
      <c r="I38" s="29">
        <f>'MERCADO TE'!$U$35</f>
        <v>0</v>
      </c>
      <c r="J38" s="15"/>
      <c r="L38" s="26">
        <f>'TE BE'!$L$38*'TE BF'!$L$49</f>
        <v>0</v>
      </c>
      <c r="M38" s="26">
        <f>'TE BE'!$M$38*'TE BF'!$M$49</f>
        <v>0</v>
      </c>
      <c r="N38" s="26">
        <f>'TE BE'!$N$38*'TE BF'!$N$49</f>
        <v>0</v>
      </c>
      <c r="O38" s="26">
        <f>'TE BE'!$O$38*'TE BF'!$O$49</f>
        <v>0</v>
      </c>
      <c r="P38" s="26">
        <f>'TE BE'!$P$38*'TE BF'!$P$49</f>
        <v>0</v>
      </c>
      <c r="Q38" s="26">
        <f>SUM($L$38:$P$38)</f>
        <v>0</v>
      </c>
      <c r="R38" s="26">
        <f>'TE BE'!$R$38*'TE BF'!$R$49</f>
        <v>0</v>
      </c>
      <c r="S38" s="26">
        <f>SUM($R$38:$R$38)</f>
        <v>0</v>
      </c>
      <c r="T38" s="26">
        <f>'TE BE'!$T$38*'TE BF'!$T$49</f>
        <v>0</v>
      </c>
      <c r="U38" s="26">
        <f>'TE BE'!$U$38*'TE BF'!$U$49</f>
        <v>0</v>
      </c>
      <c r="V38" s="26">
        <f>'TE BE'!$V$38*'TE BF'!$V$49</f>
        <v>0</v>
      </c>
      <c r="W38" s="26">
        <f>SUM($T$38:$V$38)</f>
        <v>0</v>
      </c>
      <c r="X38" s="26">
        <f>'TE BE'!$AB$38*'TE BF'!$X$49</f>
        <v>0</v>
      </c>
      <c r="Y38" s="26">
        <f>SUM($X$38:$X$38)</f>
        <v>0</v>
      </c>
      <c r="Z38" s="26">
        <f>'TE BE'!$Z$38*'TE BF'!$Z$49</f>
        <v>0</v>
      </c>
      <c r="AA38" s="26">
        <f>SUM($Z$38:$Z$38)</f>
        <v>0</v>
      </c>
      <c r="AB38" s="26">
        <f>SUMIF($L$4:$AA$4,"SUBTOTAL",$L$38:$AA$38)</f>
        <v>0</v>
      </c>
    </row>
    <row r="39" spans="1:28" ht="11.25" customHeight="1" x14ac:dyDescent="0.25">
      <c r="A39" s="113"/>
      <c r="B39" s="28" t="s">
        <v>69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66</v>
      </c>
      <c r="I39" s="29">
        <f>'MERCADO TE'!$U$36</f>
        <v>1464.15</v>
      </c>
      <c r="J39" s="15"/>
      <c r="L39" s="26">
        <f>'TE BE'!$L$39*'TE BF'!$L$49</f>
        <v>0</v>
      </c>
      <c r="M39" s="26">
        <f>'TE BE'!$M$39*'TE BF'!$M$49</f>
        <v>0</v>
      </c>
      <c r="N39" s="26">
        <f>'TE BE'!$N$39*'TE BF'!$N$49</f>
        <v>0</v>
      </c>
      <c r="O39" s="26">
        <f>'TE BE'!$O$39*'TE BF'!$O$49</f>
        <v>0</v>
      </c>
      <c r="P39" s="26">
        <f>'TE BE'!$P$39*'TE BF'!$P$49</f>
        <v>0</v>
      </c>
      <c r="Q39" s="26">
        <f>SUM($L$39:$P$39)</f>
        <v>0</v>
      </c>
      <c r="R39" s="26">
        <f>'TE BE'!$R$39*'TE BF'!$R$49</f>
        <v>0</v>
      </c>
      <c r="S39" s="26">
        <f>SUM($R$39:$R$39)</f>
        <v>0</v>
      </c>
      <c r="T39" s="26">
        <f>'TE BE'!$T$39*'TE BF'!$T$49</f>
        <v>0</v>
      </c>
      <c r="U39" s="26">
        <f>'TE BE'!$U$39*'TE BF'!$U$49</f>
        <v>0</v>
      </c>
      <c r="V39" s="26">
        <f>'TE BE'!$V$39*'TE BF'!$V$49</f>
        <v>0</v>
      </c>
      <c r="W39" s="26">
        <f>SUM($T$39:$V$39)</f>
        <v>0</v>
      </c>
      <c r="X39" s="26">
        <f>'TE BE'!$AB$39*'TE BF'!$X$49</f>
        <v>0</v>
      </c>
      <c r="Y39" s="26">
        <f>SUM($X$39:$X$39)</f>
        <v>0</v>
      </c>
      <c r="Z39" s="26">
        <f>'TE BE'!$Z$39*'TE BF'!$Z$49</f>
        <v>0</v>
      </c>
      <c r="AA39" s="26">
        <f>SUM($Z$39:$Z$39)</f>
        <v>0</v>
      </c>
      <c r="AB39" s="26">
        <f>SUMIF($L$4:$AA$4,"SUBTOTAL",$L$39:$AA$39)</f>
        <v>0</v>
      </c>
    </row>
    <row r="40" spans="1:28" ht="11.25" customHeight="1" x14ac:dyDescent="0.25">
      <c r="A40" s="113"/>
      <c r="B40" s="28" t="s">
        <v>81</v>
      </c>
      <c r="C40" s="28" t="s">
        <v>25</v>
      </c>
      <c r="D40" s="28" t="s">
        <v>25</v>
      </c>
      <c r="E40" s="28" t="s">
        <v>25</v>
      </c>
      <c r="F40" s="28" t="s">
        <v>25</v>
      </c>
      <c r="G40" s="29" t="s">
        <v>70</v>
      </c>
      <c r="H40" s="29" t="s">
        <v>66</v>
      </c>
      <c r="I40" s="29">
        <f>'MERCADO TE'!$U$37</f>
        <v>0</v>
      </c>
      <c r="J40" s="15"/>
      <c r="L40" s="26">
        <f>'TE BE'!$L$40*'TE BF'!$L$49</f>
        <v>0</v>
      </c>
      <c r="M40" s="26">
        <f>'TE BE'!$M$40*'TE BF'!$M$49</f>
        <v>0</v>
      </c>
      <c r="N40" s="26">
        <f>'TE BE'!$N$40*'TE BF'!$N$49</f>
        <v>0</v>
      </c>
      <c r="O40" s="26">
        <f>'TE BE'!$O$40*'TE BF'!$O$49</f>
        <v>0</v>
      </c>
      <c r="P40" s="26">
        <f>'TE BE'!$P$40*'TE BF'!$P$49</f>
        <v>0</v>
      </c>
      <c r="Q40" s="26">
        <f>SUM($L$40:$P$40)</f>
        <v>0</v>
      </c>
      <c r="R40" s="26">
        <f>'TE BE'!$R$40*'TE BF'!$R$49</f>
        <v>0</v>
      </c>
      <c r="S40" s="26">
        <f>SUM($R$40:$R$40)</f>
        <v>0</v>
      </c>
      <c r="T40" s="26">
        <f>'TE BE'!$T$40*'TE BF'!$T$49</f>
        <v>0</v>
      </c>
      <c r="U40" s="26">
        <f>'TE BE'!$U$40*'TE BF'!$U$49</f>
        <v>0</v>
      </c>
      <c r="V40" s="26">
        <f>'TE BE'!$V$40*'TE BF'!$V$49</f>
        <v>0</v>
      </c>
      <c r="W40" s="26">
        <f>SUM($T$40:$V$40)</f>
        <v>0</v>
      </c>
      <c r="X40" s="26">
        <f>'TE BE'!$AB$40*'TE BF'!$X$49</f>
        <v>0</v>
      </c>
      <c r="Y40" s="26">
        <f>SUM($X$40:$X$40)</f>
        <v>0</v>
      </c>
      <c r="Z40" s="26">
        <f>'TE BE'!$Z$40*'TE BF'!$Z$49</f>
        <v>0</v>
      </c>
      <c r="AA40" s="26">
        <f>SUM($Z$40:$Z$40)</f>
        <v>0</v>
      </c>
      <c r="AB40" s="26">
        <f>SUMIF($L$4:$AA$4,"SUBTOTAL",$L$40:$AA$40)</f>
        <v>0</v>
      </c>
    </row>
    <row r="41" spans="1:28" ht="11.25" customHeight="1" x14ac:dyDescent="0.25">
      <c r="A41" s="113" t="s">
        <v>44</v>
      </c>
      <c r="B41" s="113" t="s">
        <v>69</v>
      </c>
      <c r="C41" s="113" t="s">
        <v>45</v>
      </c>
      <c r="D41" s="28" t="s">
        <v>46</v>
      </c>
      <c r="E41" s="28" t="s">
        <v>25</v>
      </c>
      <c r="F41" s="28" t="s">
        <v>25</v>
      </c>
      <c r="G41" s="29" t="s">
        <v>70</v>
      </c>
      <c r="H41" s="29" t="s">
        <v>66</v>
      </c>
      <c r="I41" s="29">
        <f>'MERCADO TE'!$U$38</f>
        <v>491.28100000000001</v>
      </c>
      <c r="J41" s="15"/>
      <c r="L41" s="26">
        <f>'TE BE'!$L$41*'TE BF'!$L$49</f>
        <v>0</v>
      </c>
      <c r="M41" s="26">
        <f>'TE BE'!$M$41*'TE BF'!$M$49</f>
        <v>0</v>
      </c>
      <c r="N41" s="26">
        <f>'TE BE'!$N$41*'TE BF'!$N$49</f>
        <v>0</v>
      </c>
      <c r="O41" s="26">
        <f>'TE BE'!$O$41*'TE BF'!$O$49</f>
        <v>0</v>
      </c>
      <c r="P41" s="26">
        <f>'TE BE'!$P$41*'TE BF'!$P$49</f>
        <v>0</v>
      </c>
      <c r="Q41" s="26">
        <f>SUM($L$41:$P$41)</f>
        <v>0</v>
      </c>
      <c r="R41" s="26">
        <f>'TE BE'!$R$41*'TE BF'!$R$49</f>
        <v>0</v>
      </c>
      <c r="S41" s="26">
        <f>SUM($R$41:$R$41)</f>
        <v>0</v>
      </c>
      <c r="T41" s="26">
        <f>'TE BE'!$T$41*'TE BF'!$T$49</f>
        <v>0</v>
      </c>
      <c r="U41" s="26">
        <f>'TE BE'!$U$41*'TE BF'!$U$49</f>
        <v>0</v>
      </c>
      <c r="V41" s="26">
        <f>'TE BE'!$V$41*'TE BF'!$V$49</f>
        <v>0</v>
      </c>
      <c r="W41" s="26">
        <f>SUM($T$41:$V$41)</f>
        <v>0</v>
      </c>
      <c r="X41" s="26">
        <f>'TE BE'!$AB$41*'TE BF'!$X$49</f>
        <v>0</v>
      </c>
      <c r="Y41" s="26">
        <f>SUM($X$41:$X$41)</f>
        <v>0</v>
      </c>
      <c r="Z41" s="26">
        <f>'TE BE'!$Z$41*'TE BF'!$Z$49</f>
        <v>0</v>
      </c>
      <c r="AA41" s="26">
        <f>SUM($Z$41:$Z$41)</f>
        <v>0</v>
      </c>
      <c r="AB41" s="26">
        <f>SUMIF($L$4:$AA$4,"SUBTOTAL",$L$41:$AA$41)</f>
        <v>0</v>
      </c>
    </row>
    <row r="42" spans="1:28" ht="11.25" customHeight="1" x14ac:dyDescent="0.25">
      <c r="A42" s="113"/>
      <c r="B42" s="113"/>
      <c r="C42" s="113"/>
      <c r="D42" s="29" t="s">
        <v>85</v>
      </c>
      <c r="E42" s="29" t="s">
        <v>25</v>
      </c>
      <c r="F42" s="29" t="s">
        <v>25</v>
      </c>
      <c r="G42" s="29" t="s">
        <v>70</v>
      </c>
      <c r="H42" s="29" t="s">
        <v>66</v>
      </c>
      <c r="I42" s="29">
        <f>'MERCADO TE'!$U$39</f>
        <v>0</v>
      </c>
      <c r="J42" s="15"/>
      <c r="L42" s="26">
        <f>'TE BE'!$L$42*'TE BF'!$L$49</f>
        <v>0</v>
      </c>
      <c r="M42" s="26">
        <f>'TE BE'!$M$42*'TE BF'!$M$49</f>
        <v>0</v>
      </c>
      <c r="N42" s="26">
        <f>'TE BE'!$N$42*'TE BF'!$N$49</f>
        <v>0</v>
      </c>
      <c r="O42" s="26">
        <f>'TE BE'!$O$42*'TE BF'!$O$49</f>
        <v>0</v>
      </c>
      <c r="P42" s="26">
        <f>'TE BE'!$P$42*'TE BF'!$P$49</f>
        <v>0</v>
      </c>
      <c r="Q42" s="26">
        <f>SUM($L$42:$P$42)</f>
        <v>0</v>
      </c>
      <c r="R42" s="26">
        <f>'TE BE'!$R$42*'TE BF'!$R$49</f>
        <v>0</v>
      </c>
      <c r="S42" s="26">
        <f>SUM($R$42:$R$42)</f>
        <v>0</v>
      </c>
      <c r="T42" s="26">
        <f>'TE BE'!$T$42*'TE BF'!$T$49</f>
        <v>0</v>
      </c>
      <c r="U42" s="26">
        <f>'TE BE'!$U$42*'TE BF'!$U$49</f>
        <v>0</v>
      </c>
      <c r="V42" s="26">
        <f>'TE BE'!$V$42*'TE BF'!$V$49</f>
        <v>0</v>
      </c>
      <c r="W42" s="26">
        <f>SUM($T$42:$V$42)</f>
        <v>0</v>
      </c>
      <c r="X42" s="26">
        <f>'TE BE'!$AB$42*'TE BF'!$X$49</f>
        <v>0</v>
      </c>
      <c r="Y42" s="26">
        <f>SUM($X$42:$X$42)</f>
        <v>0</v>
      </c>
      <c r="Z42" s="26">
        <f>'TE BE'!$Z$42*'TE BF'!$Z$49</f>
        <v>0</v>
      </c>
      <c r="AA42" s="26">
        <f>SUM($Z$42:$Z$42)</f>
        <v>0</v>
      </c>
      <c r="AB42" s="26">
        <f>SUMIF($L$4:$AA$4,"SUBTOTAL",$L$42:$AA$42)</f>
        <v>0</v>
      </c>
    </row>
    <row r="44" spans="1:28" ht="11.25" customHeight="1" x14ac:dyDescent="0.25">
      <c r="K44" s="31" t="s">
        <v>522</v>
      </c>
      <c r="L44" s="26">
        <f t="shared" ref="L44:AB44" si="0">SUMPRODUCT($I$5:$I$42,L$5:L$42)</f>
        <v>0</v>
      </c>
      <c r="M44" s="26">
        <f t="shared" si="0"/>
        <v>0</v>
      </c>
      <c r="N44" s="26">
        <f t="shared" si="0"/>
        <v>0</v>
      </c>
      <c r="O44" s="26">
        <f t="shared" si="0"/>
        <v>0</v>
      </c>
      <c r="P44" s="26">
        <f t="shared" si="0"/>
        <v>0</v>
      </c>
      <c r="Q44" s="26">
        <f t="shared" si="0"/>
        <v>0</v>
      </c>
      <c r="R44" s="26">
        <f t="shared" si="0"/>
        <v>0</v>
      </c>
      <c r="S44" s="26">
        <f t="shared" si="0"/>
        <v>0</v>
      </c>
      <c r="T44" s="26">
        <f t="shared" si="0"/>
        <v>0</v>
      </c>
      <c r="U44" s="26">
        <f t="shared" si="0"/>
        <v>0</v>
      </c>
      <c r="V44" s="26">
        <f t="shared" si="0"/>
        <v>0</v>
      </c>
      <c r="W44" s="26">
        <f t="shared" si="0"/>
        <v>0</v>
      </c>
      <c r="X44" s="26">
        <f t="shared" si="0"/>
        <v>0</v>
      </c>
      <c r="Y44" s="26">
        <f t="shared" si="0"/>
        <v>0</v>
      </c>
      <c r="Z44" s="26">
        <f t="shared" si="0"/>
        <v>0</v>
      </c>
      <c r="AA44" s="26">
        <f t="shared" si="0"/>
        <v>0</v>
      </c>
      <c r="AB44" s="26">
        <f t="shared" si="0"/>
        <v>0</v>
      </c>
    </row>
    <row r="45" spans="1:28" ht="11.25" customHeight="1" x14ac:dyDescent="0.25">
      <c r="K45" s="31" t="s">
        <v>441</v>
      </c>
      <c r="L45" s="26">
        <f>CUSTOS!$D$30</f>
        <v>0</v>
      </c>
      <c r="M45" s="26">
        <f>CUSTOS!$D$31</f>
        <v>0</v>
      </c>
      <c r="N45" s="26">
        <f>CUSTOS!$D$32</f>
        <v>0</v>
      </c>
      <c r="O45" s="26">
        <f>CUSTOS!$D$33</f>
        <v>0</v>
      </c>
      <c r="P45" s="26">
        <f>CUSTOS!$D$34</f>
        <v>0</v>
      </c>
      <c r="Q45" s="26">
        <f>CUSTOS!$D$35</f>
        <v>0</v>
      </c>
      <c r="R45" s="26">
        <f>CUSTOS!$D$36</f>
        <v>1918542.2137533133</v>
      </c>
      <c r="S45" s="26">
        <f>CUSTOS!$D$37</f>
        <v>1918542.2137533133</v>
      </c>
      <c r="T45" s="26">
        <f>CUSTOS!$D$38</f>
        <v>0</v>
      </c>
      <c r="U45" s="26">
        <f>CUSTOS!$D$39</f>
        <v>0</v>
      </c>
      <c r="V45" s="26">
        <f>CUSTOS!$D$40</f>
        <v>0</v>
      </c>
      <c r="W45" s="26">
        <f>CUSTOS!$D$41</f>
        <v>0</v>
      </c>
      <c r="X45" s="26">
        <f>CUSTOS!$D$42</f>
        <v>0</v>
      </c>
      <c r="Y45" s="26">
        <f>CUSTOS!$D$43</f>
        <v>0</v>
      </c>
      <c r="Z45" s="26">
        <f>CUSTOS!$D$44</f>
        <v>0</v>
      </c>
      <c r="AA45" s="26">
        <f>CUSTOS!$D$45</f>
        <v>0</v>
      </c>
      <c r="AB45" s="26">
        <f>CUSTOS!$D$46</f>
        <v>1918542.2137533133</v>
      </c>
    </row>
    <row r="46" spans="1:28" ht="11.25" customHeight="1" x14ac:dyDescent="0.25">
      <c r="K46" s="31" t="s">
        <v>442</v>
      </c>
      <c r="L46" s="26">
        <f>CUSTOS!$E$30</f>
        <v>0</v>
      </c>
      <c r="M46" s="26">
        <f>CUSTOS!$E$31</f>
        <v>0</v>
      </c>
      <c r="N46" s="26">
        <f>CUSTOS!$E$32</f>
        <v>0</v>
      </c>
      <c r="O46" s="26">
        <f>CUSTOS!$E$33</f>
        <v>0</v>
      </c>
      <c r="P46" s="26">
        <f>CUSTOS!$E$34</f>
        <v>0</v>
      </c>
      <c r="Q46" s="26">
        <f>CUSTOS!$E$35</f>
        <v>0</v>
      </c>
      <c r="R46" s="26">
        <f>CUSTOS!$E$36</f>
        <v>-10094.838415035665</v>
      </c>
      <c r="S46" s="26">
        <f>CUSTOS!$E$37</f>
        <v>-10094.838415035665</v>
      </c>
      <c r="T46" s="26">
        <f>CUSTOS!$E$38</f>
        <v>0</v>
      </c>
      <c r="U46" s="26">
        <f>CUSTOS!$E$39</f>
        <v>0</v>
      </c>
      <c r="V46" s="26">
        <f>CUSTOS!$E$40</f>
        <v>0</v>
      </c>
      <c r="W46" s="26">
        <f>CUSTOS!$E$41</f>
        <v>0</v>
      </c>
      <c r="X46" s="26">
        <f>CUSTOS!$E$42</f>
        <v>-27429.875191861989</v>
      </c>
      <c r="Y46" s="26">
        <f>CUSTOS!$E$43</f>
        <v>-27429.875191861989</v>
      </c>
      <c r="Z46" s="26">
        <f>CUSTOS!$E$44</f>
        <v>0</v>
      </c>
      <c r="AA46" s="26">
        <f>CUSTOS!$E$45</f>
        <v>0</v>
      </c>
      <c r="AB46" s="26">
        <f>CUSTOS!$E$46</f>
        <v>-37524.713606897654</v>
      </c>
    </row>
    <row r="47" spans="1:28" ht="11.25" customHeight="1" x14ac:dyDescent="0.25">
      <c r="K47" s="31" t="s">
        <v>443</v>
      </c>
      <c r="L47" s="26">
        <f>CUSTOS!$F$30</f>
        <v>0</v>
      </c>
      <c r="M47" s="26">
        <f>CUSTOS!$F$31</f>
        <v>0</v>
      </c>
      <c r="N47" s="26">
        <f>CUSTOS!$F$32</f>
        <v>0</v>
      </c>
      <c r="O47" s="26">
        <f>CUSTOS!$F$33</f>
        <v>0</v>
      </c>
      <c r="P47" s="26">
        <f>CUSTOS!$F$34</f>
        <v>0</v>
      </c>
      <c r="Q47" s="26">
        <f>CUSTOS!$F$35</f>
        <v>0</v>
      </c>
      <c r="R47" s="26">
        <f>CUSTOS!$F$36</f>
        <v>0</v>
      </c>
      <c r="S47" s="26">
        <f>CUSTOS!$F$37</f>
        <v>0</v>
      </c>
      <c r="T47" s="26">
        <f>CUSTOS!$F$38</f>
        <v>0</v>
      </c>
      <c r="U47" s="26">
        <f>CUSTOS!$F$39</f>
        <v>0</v>
      </c>
      <c r="V47" s="26">
        <f>CUSTOS!$F$40</f>
        <v>0</v>
      </c>
      <c r="W47" s="26">
        <f>CUSTOS!$F$41</f>
        <v>0</v>
      </c>
      <c r="X47" s="26">
        <f>CUSTOS!$F$42</f>
        <v>0</v>
      </c>
      <c r="Y47" s="26">
        <f>CUSTOS!$F$43</f>
        <v>0</v>
      </c>
      <c r="Z47" s="26">
        <f>CUSTOS!$F$44</f>
        <v>0</v>
      </c>
      <c r="AA47" s="26">
        <f>CUSTOS!$F$45</f>
        <v>0</v>
      </c>
      <c r="AB47" s="26">
        <f>CUSTOS!$F$46</f>
        <v>0</v>
      </c>
    </row>
    <row r="48" spans="1:28" ht="11.25" customHeight="1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1:28" ht="11.25" customHeight="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7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8:F10"/>
    <mergeCell ref="B11:B15"/>
    <mergeCell ref="C11:C15"/>
    <mergeCell ref="B16:B20"/>
    <mergeCell ref="C16:C20"/>
    <mergeCell ref="A8:A20"/>
    <mergeCell ref="B8:B10"/>
    <mergeCell ref="C8:C10"/>
    <mergeCell ref="D8:D10"/>
    <mergeCell ref="E8:E10"/>
    <mergeCell ref="D29:D31"/>
    <mergeCell ref="E29:E31"/>
    <mergeCell ref="F29:F31"/>
    <mergeCell ref="D21:D23"/>
    <mergeCell ref="E21:E23"/>
    <mergeCell ref="F21:F23"/>
    <mergeCell ref="D25:D27"/>
    <mergeCell ref="E25:E27"/>
    <mergeCell ref="F25:F27"/>
    <mergeCell ref="B33:B35"/>
    <mergeCell ref="C33:C35"/>
    <mergeCell ref="A36:A40"/>
    <mergeCell ref="B36:B38"/>
    <mergeCell ref="C36:C38"/>
    <mergeCell ref="A21:A35"/>
    <mergeCell ref="B21:B23"/>
    <mergeCell ref="C21:C23"/>
    <mergeCell ref="B29:B31"/>
    <mergeCell ref="C29:C31"/>
    <mergeCell ref="B25:B27"/>
    <mergeCell ref="C25:C27"/>
    <mergeCell ref="E36:E38"/>
    <mergeCell ref="F36:F38"/>
    <mergeCell ref="A41:A42"/>
    <mergeCell ref="B41:B42"/>
    <mergeCell ref="C41:C42"/>
    <mergeCell ref="D36:D38"/>
  </mergeCells>
  <conditionalFormatting sqref="L44">
    <cfRule type="cellIs" dxfId="518" priority="33" operator="notEqual">
      <formula>$L$47</formula>
    </cfRule>
    <cfRule type="cellIs" dxfId="517" priority="34" operator="equal">
      <formula>$L$47</formula>
    </cfRule>
  </conditionalFormatting>
  <conditionalFormatting sqref="M44">
    <cfRule type="cellIs" dxfId="516" priority="31" operator="notEqual">
      <formula>$M$47</formula>
    </cfRule>
    <cfRule type="cellIs" dxfId="515" priority="32" operator="equal">
      <formula>$M$47</formula>
    </cfRule>
  </conditionalFormatting>
  <conditionalFormatting sqref="N44">
    <cfRule type="cellIs" dxfId="514" priority="29" operator="notEqual">
      <formula>$N$47</formula>
    </cfRule>
    <cfRule type="cellIs" dxfId="513" priority="30" operator="equal">
      <formula>$N$47</formula>
    </cfRule>
  </conditionalFormatting>
  <conditionalFormatting sqref="O44">
    <cfRule type="cellIs" dxfId="512" priority="27" operator="notEqual">
      <formula>$O$47</formula>
    </cfRule>
    <cfRule type="cellIs" dxfId="511" priority="28" operator="equal">
      <formula>$O$47</formula>
    </cfRule>
  </conditionalFormatting>
  <conditionalFormatting sqref="P44">
    <cfRule type="cellIs" dxfId="510" priority="25" operator="notEqual">
      <formula>$P$47</formula>
    </cfRule>
    <cfRule type="cellIs" dxfId="509" priority="26" operator="equal">
      <formula>$P$47</formula>
    </cfRule>
  </conditionalFormatting>
  <conditionalFormatting sqref="Q44">
    <cfRule type="cellIs" dxfId="508" priority="23" operator="notEqual">
      <formula>$Q$47</formula>
    </cfRule>
    <cfRule type="cellIs" dxfId="507" priority="24" operator="equal">
      <formula>$Q$47</formula>
    </cfRule>
  </conditionalFormatting>
  <conditionalFormatting sqref="R44">
    <cfRule type="cellIs" dxfId="506" priority="21" operator="notEqual">
      <formula>$R$47</formula>
    </cfRule>
    <cfRule type="cellIs" dxfId="505" priority="22" operator="equal">
      <formula>$R$47</formula>
    </cfRule>
  </conditionalFormatting>
  <conditionalFormatting sqref="S44">
    <cfRule type="cellIs" dxfId="504" priority="19" operator="notEqual">
      <formula>$S$47</formula>
    </cfRule>
    <cfRule type="cellIs" dxfId="503" priority="20" operator="equal">
      <formula>$S$47</formula>
    </cfRule>
  </conditionalFormatting>
  <conditionalFormatting sqref="T44">
    <cfRule type="cellIs" dxfId="502" priority="17" operator="notEqual">
      <formula>$T$47</formula>
    </cfRule>
    <cfRule type="cellIs" dxfId="501" priority="18" operator="equal">
      <formula>$T$47</formula>
    </cfRule>
  </conditionalFormatting>
  <conditionalFormatting sqref="U44">
    <cfRule type="cellIs" dxfId="500" priority="15" operator="notEqual">
      <formula>$U$47</formula>
    </cfRule>
    <cfRule type="cellIs" dxfId="499" priority="16" operator="equal">
      <formula>$U$47</formula>
    </cfRule>
  </conditionalFormatting>
  <conditionalFormatting sqref="V44">
    <cfRule type="cellIs" dxfId="498" priority="13" operator="notEqual">
      <formula>$V$47</formula>
    </cfRule>
    <cfRule type="cellIs" dxfId="497" priority="14" operator="equal">
      <formula>$V$47</formula>
    </cfRule>
  </conditionalFormatting>
  <conditionalFormatting sqref="W44">
    <cfRule type="cellIs" dxfId="496" priority="11" operator="notEqual">
      <formula>$W$47</formula>
    </cfRule>
    <cfRule type="cellIs" dxfId="495" priority="12" operator="equal">
      <formula>$W$47</formula>
    </cfRule>
  </conditionalFormatting>
  <conditionalFormatting sqref="X44">
    <cfRule type="cellIs" dxfId="494" priority="9" operator="notEqual">
      <formula>$X$47</formula>
    </cfRule>
    <cfRule type="cellIs" dxfId="493" priority="10" operator="equal">
      <formula>$X$47</formula>
    </cfRule>
  </conditionalFormatting>
  <conditionalFormatting sqref="Y44">
    <cfRule type="cellIs" dxfId="492" priority="7" operator="notEqual">
      <formula>$Y$47</formula>
    </cfRule>
    <cfRule type="cellIs" dxfId="491" priority="8" operator="equal">
      <formula>$Y$47</formula>
    </cfRule>
  </conditionalFormatting>
  <conditionalFormatting sqref="Z44">
    <cfRule type="cellIs" dxfId="490" priority="5" operator="notEqual">
      <formula>$Z$47</formula>
    </cfRule>
    <cfRule type="cellIs" dxfId="489" priority="6" operator="equal">
      <formula>$Z$47</formula>
    </cfRule>
  </conditionalFormatting>
  <conditionalFormatting sqref="AA44">
    <cfRule type="cellIs" dxfId="488" priority="3" operator="notEqual">
      <formula>$AA$47</formula>
    </cfRule>
    <cfRule type="cellIs" dxfId="487" priority="4" operator="equal">
      <formula>$AA$47</formula>
    </cfRule>
  </conditionalFormatting>
  <conditionalFormatting sqref="AB44">
    <cfRule type="cellIs" dxfId="486" priority="1" operator="notEqual">
      <formula>$AB$47</formula>
    </cfRule>
    <cfRule type="cellIs" dxfId="485" priority="2" operator="equal">
      <formula>$AB$47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997D-2C5B-40E9-8AB3-784494EE6172}">
  <dimension ref="A1:AV241"/>
  <sheetViews>
    <sheetView showGridLines="0" tabSelected="1" topLeftCell="AG1" workbookViewId="0">
      <selection activeCell="AU12" sqref="AU12:AU17"/>
    </sheetView>
  </sheetViews>
  <sheetFormatPr defaultRowHeight="11.25" customHeight="1" x14ac:dyDescent="0.25"/>
  <cols>
    <col min="1" max="1" width="19.140625" style="4" bestFit="1" customWidth="1"/>
    <col min="2" max="2" width="13.28515625" style="4" bestFit="1" customWidth="1"/>
    <col min="3" max="3" width="14.5703125" style="4" bestFit="1" customWidth="1"/>
    <col min="4" max="4" width="13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23.28515625" style="4" bestFit="1" customWidth="1"/>
    <col min="29" max="29" width="24.7109375" style="4" bestFit="1" customWidth="1"/>
    <col min="30" max="30" width="22.5703125" style="4" bestFit="1" customWidth="1"/>
    <col min="31" max="31" width="24.140625" style="4" bestFit="1" customWidth="1"/>
    <col min="32" max="32" width="25.5703125" style="4" bestFit="1" customWidth="1"/>
    <col min="33" max="33" width="23.42578125" style="4" bestFit="1" customWidth="1"/>
    <col min="34" max="34" width="9.140625" style="4"/>
    <col min="35" max="35" width="9.28515625" style="4" bestFit="1" customWidth="1"/>
    <col min="36" max="36" width="14.5703125" style="4" bestFit="1" customWidth="1"/>
    <col min="37" max="37" width="15.42578125" style="4" bestFit="1" customWidth="1"/>
    <col min="38" max="38" width="9.28515625" style="4" bestFit="1" customWidth="1"/>
    <col min="39" max="39" width="9.140625" style="4"/>
    <col min="40" max="40" width="9.28515625" style="4" bestFit="1" customWidth="1"/>
    <col min="41" max="41" width="12.28515625" style="4" bestFit="1" customWidth="1"/>
    <col min="42" max="42" width="13.28515625" style="4" bestFit="1" customWidth="1"/>
    <col min="43" max="43" width="9.28515625" style="4" bestFit="1" customWidth="1"/>
    <col min="44" max="44" width="9.140625" style="4"/>
    <col min="45" max="45" width="9.28515625" style="4" bestFit="1" customWidth="1"/>
    <col min="46" max="46" width="10.85546875" style="4" bestFit="1" customWidth="1"/>
    <col min="47" max="47" width="11.28515625" style="4" bestFit="1" customWidth="1"/>
    <col min="48" max="48" width="9.28515625" style="4" bestFit="1" customWidth="1"/>
    <col min="49" max="16384" width="9.140625" style="4"/>
  </cols>
  <sheetData>
    <row r="1" spans="1:48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1" t="s">
        <v>553</v>
      </c>
      <c r="AB1" s="1" t="s">
        <v>567</v>
      </c>
      <c r="AC1" s="1" t="s">
        <v>568</v>
      </c>
      <c r="AD1" s="1" t="s">
        <v>569</v>
      </c>
      <c r="AE1" s="1" t="s">
        <v>570</v>
      </c>
      <c r="AF1" s="1" t="s">
        <v>571</v>
      </c>
      <c r="AG1" s="1" t="s">
        <v>572</v>
      </c>
      <c r="AI1" s="40" t="s">
        <v>56</v>
      </c>
      <c r="AJ1" s="40" t="s">
        <v>573</v>
      </c>
      <c r="AK1" s="40" t="s">
        <v>574</v>
      </c>
      <c r="AL1" s="40" t="s">
        <v>575</v>
      </c>
      <c r="AN1" s="40" t="s">
        <v>56</v>
      </c>
      <c r="AO1" s="40" t="s">
        <v>576</v>
      </c>
      <c r="AP1" s="40" t="s">
        <v>577</v>
      </c>
      <c r="AQ1" s="40" t="s">
        <v>575</v>
      </c>
      <c r="AS1" s="40" t="s">
        <v>56</v>
      </c>
      <c r="AT1" s="40" t="s">
        <v>578</v>
      </c>
      <c r="AU1" s="40" t="s">
        <v>579</v>
      </c>
      <c r="AV1" s="40" t="s">
        <v>575</v>
      </c>
    </row>
    <row r="2" spans="1:48" ht="11.25" customHeight="1" x14ac:dyDescent="0.25">
      <c r="A2" s="4" t="s">
        <v>21</v>
      </c>
      <c r="B2" s="4" t="s">
        <v>39</v>
      </c>
      <c r="C2" s="4" t="s">
        <v>40</v>
      </c>
      <c r="D2" s="4" t="s">
        <v>38</v>
      </c>
      <c r="E2" s="4" t="s">
        <v>25</v>
      </c>
      <c r="F2" s="4" t="s">
        <v>25</v>
      </c>
      <c r="G2" s="4" t="s">
        <v>25</v>
      </c>
      <c r="H2" s="4" t="s">
        <v>35</v>
      </c>
      <c r="I2" s="5">
        <v>44378</v>
      </c>
      <c r="J2" s="6">
        <v>0</v>
      </c>
      <c r="K2" s="6">
        <v>0</v>
      </c>
      <c r="L2" s="6">
        <v>49.872999999999998</v>
      </c>
      <c r="M2" s="6">
        <v>49.872999999999998</v>
      </c>
      <c r="N2" s="6">
        <v>49.872999999999998</v>
      </c>
      <c r="O2" s="6">
        <v>49.872999999999998</v>
      </c>
      <c r="P2" s="6">
        <v>0</v>
      </c>
      <c r="Q2" s="4" t="s">
        <v>26</v>
      </c>
      <c r="R2" s="4">
        <v>0</v>
      </c>
      <c r="S2" s="6">
        <v>0</v>
      </c>
      <c r="T2" s="6">
        <v>21</v>
      </c>
      <c r="U2" s="6">
        <v>48</v>
      </c>
      <c r="V2" s="6">
        <f>IF(ISERROR(VLOOKUP($S$2,'TAR FIN'!$A$1:$O$86,15,0)),0,VLOOKUP($S$2,'TAR FIN'!$A$1:$O$86,15,0))</f>
        <v>0</v>
      </c>
      <c r="W2" s="6">
        <f>IF(ISERROR(VLOOKUP($T$2,'TAR FIN'!$A$1:$O$86,15,0)),0,VLOOKUP($T$2,'TAR FIN'!$A$1:$O$86,15,0))</f>
        <v>67.53</v>
      </c>
      <c r="X2" s="6">
        <f>IF(ISERROR(VLOOKUP($U$2,'TAR FIN'!$A$1:$O$86,15,0)),0,VLOOKUP($U$2,'TAR FIN'!$A$1:$O$86,15,0))</f>
        <v>131.87</v>
      </c>
      <c r="Y2" s="6"/>
      <c r="Z2" s="6">
        <f ca="1">('TUSD BE'!$AM$12+'TUSD BF'!$AM$12+'TUSD CVA'!$AM$12)*1</f>
        <v>97.13883152087493</v>
      </c>
      <c r="AA2" s="6">
        <f>('TE BE'!$AB$6+'TE BF'!$AB$6+'TE CVA'!$AB$6)*1</f>
        <v>116.42847759142431</v>
      </c>
      <c r="AB2" s="6">
        <f>$K$2*$V$2</f>
        <v>0</v>
      </c>
      <c r="AC2" s="6">
        <f>$M$2*$W$2</f>
        <v>3367.9236900000001</v>
      </c>
      <c r="AD2" s="6">
        <f>$O$2*$X$2</f>
        <v>6576.7525100000003</v>
      </c>
      <c r="AE2" s="6">
        <f>$K$2*$Y$2</f>
        <v>0</v>
      </c>
      <c r="AF2" s="6">
        <f ca="1">$M$2*$Z$2</f>
        <v>4844.6049444405953</v>
      </c>
      <c r="AG2" s="6">
        <f>$O$2*$AA$2</f>
        <v>5806.6374629171041</v>
      </c>
      <c r="AI2" s="41" t="s">
        <v>39</v>
      </c>
      <c r="AJ2" s="42">
        <f>SUMIF($B$2:$B$241,AI2,$AB$2:$AB$241)+SUMIF($B$2:$B$241,AI2,$AC$2:$AC$241)</f>
        <v>381552.59479000006</v>
      </c>
      <c r="AK2" s="42">
        <f ca="1">SUMIF($B$2:$B$241,AI2,$AE$2:$AE$241)+SUMIF($B$2:$B$241,AI2,$AF$2:$AF$241)</f>
        <v>482493.0341760444</v>
      </c>
      <c r="AL2" s="43">
        <f t="shared" ref="AL2:AL9" ca="1" si="0">IF(AJ2&lt;&gt;0,AK2/AJ2-1,0)</f>
        <v>0.26455183574783492</v>
      </c>
      <c r="AN2" s="41" t="s">
        <v>39</v>
      </c>
      <c r="AO2" s="42">
        <f>SUMIF($B$2:$B$241,AN2,$AD$2:$AD$241)</f>
        <v>172116.06464999996</v>
      </c>
      <c r="AP2" s="42">
        <f>SUMIF($B$2:$B$241,AN2,$AG$2:$AG$241)</f>
        <v>151961.86680993906</v>
      </c>
      <c r="AQ2" s="43">
        <f t="shared" ref="AQ2:AQ9" si="1">IF(AO2&lt;&gt;0,AP2/AO2-1,0)</f>
        <v>-0.11709655273053499</v>
      </c>
      <c r="AS2" s="41" t="s">
        <v>39</v>
      </c>
      <c r="AT2" s="42">
        <f>SUMIF($B$2:$B$241,AS2,$AB$2:$AB$241)+SUMIF($B$2:$B$241,AS2,$AC$2:$AC$241)+SUMIF($B$2:$B$241,AS2,$AD$2:$AD$241)</f>
        <v>553668.65944000008</v>
      </c>
      <c r="AU2" s="42">
        <f ca="1">SUMIF($B$2:$B$241,AS2,$AE$2:$AE$241)+SUMIF($B$2:$B$241,AS2,$AF$2:$AF$241)+SUMIF($B$2:$B$241,AS2,$AG$2:$AG$241)</f>
        <v>634454.90098598343</v>
      </c>
      <c r="AV2" s="43">
        <f t="shared" ref="AV2:AV9" ca="1" si="2">IF(AT2&lt;&gt;0,AU2/AT2-1,0)</f>
        <v>0.14591080814957702</v>
      </c>
    </row>
    <row r="3" spans="1:48" ht="11.25" customHeight="1" x14ac:dyDescent="0.25">
      <c r="A3" s="4" t="s">
        <v>21</v>
      </c>
      <c r="B3" s="4" t="s">
        <v>39</v>
      </c>
      <c r="C3" s="4" t="s">
        <v>40</v>
      </c>
      <c r="D3" s="4" t="s">
        <v>38</v>
      </c>
      <c r="E3" s="4" t="s">
        <v>25</v>
      </c>
      <c r="F3" s="4" t="s">
        <v>25</v>
      </c>
      <c r="G3" s="4" t="s">
        <v>25</v>
      </c>
      <c r="H3" s="4" t="s">
        <v>35</v>
      </c>
      <c r="I3" s="5">
        <v>44409</v>
      </c>
      <c r="J3" s="6">
        <v>0</v>
      </c>
      <c r="K3" s="6">
        <v>0</v>
      </c>
      <c r="L3" s="6">
        <v>59.265999999999998</v>
      </c>
      <c r="M3" s="6">
        <v>59.265999999999998</v>
      </c>
      <c r="N3" s="6">
        <v>59.265999999999998</v>
      </c>
      <c r="O3" s="6">
        <v>59.265999999999998</v>
      </c>
      <c r="P3" s="6">
        <v>0</v>
      </c>
      <c r="Q3" s="4" t="s">
        <v>26</v>
      </c>
      <c r="R3" s="4">
        <v>0</v>
      </c>
      <c r="S3" s="6">
        <v>0</v>
      </c>
      <c r="T3" s="6">
        <v>21</v>
      </c>
      <c r="U3" s="6">
        <v>48</v>
      </c>
      <c r="V3" s="6">
        <f>IF(ISERROR(VLOOKUP($S$3,'TAR FIN'!$A$1:$O$86,15,0)),0,VLOOKUP($S$3,'TAR FIN'!$A$1:$O$86,15,0))</f>
        <v>0</v>
      </c>
      <c r="W3" s="6">
        <f>IF(ISERROR(VLOOKUP($T$3,'TAR FIN'!$A$1:$O$86,15,0)),0,VLOOKUP($T$3,'TAR FIN'!$A$1:$O$86,15,0))</f>
        <v>67.53</v>
      </c>
      <c r="X3" s="6">
        <f>IF(ISERROR(VLOOKUP($U$3,'TAR FIN'!$A$1:$O$86,15,0)),0,VLOOKUP($U$3,'TAR FIN'!$A$1:$O$86,15,0))</f>
        <v>131.87</v>
      </c>
      <c r="Y3" s="6"/>
      <c r="Z3" s="6">
        <f ca="1">('TUSD BE'!$AM$12+'TUSD BF'!$AM$12+'TUSD CVA'!$AM$12)*1</f>
        <v>97.13883152087493</v>
      </c>
      <c r="AA3" s="6">
        <f>('TE BE'!$AB$6+'TE BF'!$AB$6+'TE CVA'!$AB$6)*1</f>
        <v>116.42847759142431</v>
      </c>
      <c r="AB3" s="6">
        <f>$K$3*$V$3</f>
        <v>0</v>
      </c>
      <c r="AC3" s="6">
        <f>$M$3*$W$3</f>
        <v>4002.2329799999998</v>
      </c>
      <c r="AD3" s="6">
        <f>$O$3*$X$3</f>
        <v>7815.4074200000005</v>
      </c>
      <c r="AE3" s="6">
        <f>$K$3*$Y$3</f>
        <v>0</v>
      </c>
      <c r="AF3" s="6">
        <f ca="1">$M$3*$Z$3</f>
        <v>5757.0299889161734</v>
      </c>
      <c r="AG3" s="6">
        <f>$O$3*$AA$3</f>
        <v>6900.2501529333531</v>
      </c>
      <c r="AI3" s="41" t="s">
        <v>22</v>
      </c>
      <c r="AJ3" s="42">
        <f>SUMIF($B$2:$B$241,AI3,$AB$2:$AB$241)+SUMIF($B$2:$B$241,AI3,$AC$2:$AC$241)</f>
        <v>6797218.8175799996</v>
      </c>
      <c r="AK3" s="42">
        <f ca="1">SUMIF($B$2:$B$241,AI3,$AE$2:$AE$241)+SUMIF($B$2:$B$241,AI3,$AF$2:$AF$241)</f>
        <v>8169343.9033008683</v>
      </c>
      <c r="AL3" s="43">
        <f t="shared" ca="1" si="0"/>
        <v>0.20186566337574274</v>
      </c>
      <c r="AN3" s="41" t="s">
        <v>22</v>
      </c>
      <c r="AO3" s="42">
        <f>SUMIF($B$2:$B$241,AN3,$AD$2:$AD$241)</f>
        <v>1616780.5934799998</v>
      </c>
      <c r="AP3" s="42">
        <f>SUMIF($B$2:$B$241,AN3,$AG$2:$AG$241)</f>
        <v>1427462.5358739044</v>
      </c>
      <c r="AQ3" s="43">
        <f t="shared" si="1"/>
        <v>-0.11709570140163694</v>
      </c>
      <c r="AS3" s="41" t="s">
        <v>22</v>
      </c>
      <c r="AT3" s="42">
        <f>SUMIF($B$2:$B$241,AS3,$AB$2:$AB$241)+SUMIF($B$2:$B$241,AS3,$AC$2:$AC$241)+SUMIF($B$2:$B$241,AS3,$AD$2:$AD$241)</f>
        <v>8413999.4110599998</v>
      </c>
      <c r="AU3" s="42">
        <f ca="1">SUMIF($B$2:$B$241,AS3,$AE$2:$AE$241)+SUMIF($B$2:$B$241,AS3,$AF$2:$AF$241)+SUMIF($B$2:$B$241,AS3,$AG$2:$AG$241)</f>
        <v>9596806.4391747732</v>
      </c>
      <c r="AV3" s="43">
        <f t="shared" ca="1" si="2"/>
        <v>0.14057607688443641</v>
      </c>
    </row>
    <row r="4" spans="1:48" ht="11.25" customHeight="1" x14ac:dyDescent="0.25">
      <c r="A4" s="4" t="s">
        <v>21</v>
      </c>
      <c r="B4" s="4" t="s">
        <v>39</v>
      </c>
      <c r="C4" s="4" t="s">
        <v>40</v>
      </c>
      <c r="D4" s="4" t="s">
        <v>38</v>
      </c>
      <c r="E4" s="4" t="s">
        <v>25</v>
      </c>
      <c r="F4" s="4" t="s">
        <v>25</v>
      </c>
      <c r="G4" s="4" t="s">
        <v>25</v>
      </c>
      <c r="H4" s="4" t="s">
        <v>35</v>
      </c>
      <c r="I4" s="5">
        <v>44440</v>
      </c>
      <c r="J4" s="6">
        <v>0</v>
      </c>
      <c r="K4" s="6">
        <v>0</v>
      </c>
      <c r="L4" s="6">
        <v>83.984999999999999</v>
      </c>
      <c r="M4" s="6">
        <v>83.984999999999999</v>
      </c>
      <c r="N4" s="6">
        <v>83.984999999999999</v>
      </c>
      <c r="O4" s="6">
        <v>83.984999999999999</v>
      </c>
      <c r="P4" s="6">
        <v>0</v>
      </c>
      <c r="Q4" s="4" t="s">
        <v>26</v>
      </c>
      <c r="R4" s="4">
        <v>0</v>
      </c>
      <c r="S4" s="6">
        <v>0</v>
      </c>
      <c r="T4" s="6">
        <v>21</v>
      </c>
      <c r="U4" s="6">
        <v>48</v>
      </c>
      <c r="V4" s="6">
        <f>IF(ISERROR(VLOOKUP($S$4,'TAR FIN'!$A$1:$O$86,15,0)),0,VLOOKUP($S$4,'TAR FIN'!$A$1:$O$86,15,0))</f>
        <v>0</v>
      </c>
      <c r="W4" s="6">
        <f>IF(ISERROR(VLOOKUP($T$4,'TAR FIN'!$A$1:$O$86,15,0)),0,VLOOKUP($T$4,'TAR FIN'!$A$1:$O$86,15,0))</f>
        <v>67.53</v>
      </c>
      <c r="X4" s="6">
        <f>IF(ISERROR(VLOOKUP($U$4,'TAR FIN'!$A$1:$O$86,15,0)),0,VLOOKUP($U$4,'TAR FIN'!$A$1:$O$86,15,0))</f>
        <v>131.87</v>
      </c>
      <c r="Y4" s="6"/>
      <c r="Z4" s="6">
        <f ca="1">('TUSD BE'!$AM$12+'TUSD BF'!$AM$12+'TUSD CVA'!$AM$12)*1</f>
        <v>97.13883152087493</v>
      </c>
      <c r="AA4" s="6">
        <f>('TE BE'!$AB$6+'TE BF'!$AB$6+'TE CVA'!$AB$6)*1</f>
        <v>116.42847759142431</v>
      </c>
      <c r="AB4" s="6">
        <f>$K$4*$V$4</f>
        <v>0</v>
      </c>
      <c r="AC4" s="6">
        <f>$M$4*$W$4</f>
        <v>5671.5070500000002</v>
      </c>
      <c r="AD4" s="6">
        <f>$O$4*$X$4</f>
        <v>11075.10195</v>
      </c>
      <c r="AE4" s="6">
        <f>$K$4*$Y$4</f>
        <v>0</v>
      </c>
      <c r="AF4" s="6">
        <f ca="1">$M$4*$Z$4</f>
        <v>8158.2047652806814</v>
      </c>
      <c r="AG4" s="6">
        <f>$O$4*$AA$4</f>
        <v>9778.2456905157705</v>
      </c>
      <c r="AI4" s="41" t="s">
        <v>41</v>
      </c>
      <c r="AJ4" s="42">
        <f>SUMIF($B$2:$B$241,AI4,$AB$2:$AB$241)+SUMIF($B$2:$B$241,AI4,$AC$2:$AC$241)</f>
        <v>330628.25448000006</v>
      </c>
      <c r="AK4" s="42">
        <f ca="1">SUMIF($B$2:$B$241,AI4,$AE$2:$AE$241)+SUMIF($B$2:$B$241,AI4,$AF$2:$AF$241)</f>
        <v>424994.63579772221</v>
      </c>
      <c r="AL4" s="43">
        <f t="shared" ca="1" si="0"/>
        <v>0.28541535709383981</v>
      </c>
      <c r="AN4" s="41" t="s">
        <v>41</v>
      </c>
      <c r="AO4" s="42">
        <f>SUMIF($B$2:$B$241,AN4,$AD$2:$AD$241)</f>
        <v>78301.720199999996</v>
      </c>
      <c r="AP4" s="42">
        <f>SUMIF($B$2:$B$241,AN4,$AG$2:$AG$241)</f>
        <v>73843.662827532418</v>
      </c>
      <c r="AQ4" s="43">
        <f t="shared" si="1"/>
        <v>-5.6934347816123387E-2</v>
      </c>
      <c r="AS4" s="41" t="s">
        <v>41</v>
      </c>
      <c r="AT4" s="42">
        <f>SUMIF($B$2:$B$241,AS4,$AB$2:$AB$241)+SUMIF($B$2:$B$241,AS4,$AC$2:$AC$241)+SUMIF($B$2:$B$241,AS4,$AD$2:$AD$241)</f>
        <v>408929.97468000004</v>
      </c>
      <c r="AU4" s="42">
        <f ca="1">SUMIF($B$2:$B$241,AS4,$AE$2:$AE$241)+SUMIF($B$2:$B$241,AS4,$AF$2:$AF$241)+SUMIF($B$2:$B$241,AS4,$AG$2:$AG$241)</f>
        <v>498838.29862525465</v>
      </c>
      <c r="AV4" s="43">
        <f t="shared" ca="1" si="2"/>
        <v>0.21986239579431799</v>
      </c>
    </row>
    <row r="5" spans="1:48" ht="11.25" customHeight="1" x14ac:dyDescent="0.25">
      <c r="A5" s="4" t="s">
        <v>21</v>
      </c>
      <c r="B5" s="4" t="s">
        <v>39</v>
      </c>
      <c r="C5" s="4" t="s">
        <v>40</v>
      </c>
      <c r="D5" s="4" t="s">
        <v>38</v>
      </c>
      <c r="E5" s="4" t="s">
        <v>25</v>
      </c>
      <c r="F5" s="4" t="s">
        <v>25</v>
      </c>
      <c r="G5" s="4" t="s">
        <v>25</v>
      </c>
      <c r="H5" s="4" t="s">
        <v>35</v>
      </c>
      <c r="I5" s="5">
        <v>44470</v>
      </c>
      <c r="J5" s="6">
        <v>0</v>
      </c>
      <c r="K5" s="6">
        <v>0</v>
      </c>
      <c r="L5" s="6">
        <v>15.336</v>
      </c>
      <c r="M5" s="6">
        <v>15.336</v>
      </c>
      <c r="N5" s="6">
        <v>15.336</v>
      </c>
      <c r="O5" s="6">
        <v>15.336</v>
      </c>
      <c r="P5" s="6">
        <v>0</v>
      </c>
      <c r="Q5" s="4" t="s">
        <v>26</v>
      </c>
      <c r="R5" s="4">
        <v>0</v>
      </c>
      <c r="S5" s="6">
        <v>0</v>
      </c>
      <c r="T5" s="6">
        <v>21</v>
      </c>
      <c r="U5" s="6">
        <v>48</v>
      </c>
      <c r="V5" s="6">
        <f>IF(ISERROR(VLOOKUP($S$5,'TAR FIN'!$A$1:$O$86,15,0)),0,VLOOKUP($S$5,'TAR FIN'!$A$1:$O$86,15,0))</f>
        <v>0</v>
      </c>
      <c r="W5" s="6">
        <f>IF(ISERROR(VLOOKUP($T$5,'TAR FIN'!$A$1:$O$86,15,0)),0,VLOOKUP($T$5,'TAR FIN'!$A$1:$O$86,15,0))</f>
        <v>67.53</v>
      </c>
      <c r="X5" s="6">
        <f>IF(ISERROR(VLOOKUP($U$5,'TAR FIN'!$A$1:$O$86,15,0)),0,VLOOKUP($U$5,'TAR FIN'!$A$1:$O$86,15,0))</f>
        <v>131.87</v>
      </c>
      <c r="Y5" s="6"/>
      <c r="Z5" s="6">
        <f ca="1">('TUSD BE'!$AM$12+'TUSD BF'!$AM$12+'TUSD CVA'!$AM$12)*1</f>
        <v>97.13883152087493</v>
      </c>
      <c r="AA5" s="6">
        <f>('TE BE'!$AB$6+'TE BF'!$AB$6+'TE CVA'!$AB$6)*1</f>
        <v>116.42847759142431</v>
      </c>
      <c r="AB5" s="6">
        <f>$K$5*$V$5</f>
        <v>0</v>
      </c>
      <c r="AC5" s="6">
        <f>$M$5*$W$5</f>
        <v>1035.6400800000001</v>
      </c>
      <c r="AD5" s="6">
        <f>$O$5*$X$5</f>
        <v>2022.35832</v>
      </c>
      <c r="AE5" s="6">
        <f>$K$5*$Y$5</f>
        <v>0</v>
      </c>
      <c r="AF5" s="6">
        <f ca="1">$M$5*$Z$5</f>
        <v>1489.7211202041381</v>
      </c>
      <c r="AG5" s="6">
        <f>$O$5*$AA$5</f>
        <v>1785.5471323420832</v>
      </c>
      <c r="AI5" s="41" t="s">
        <v>37</v>
      </c>
      <c r="AJ5" s="42">
        <f>SUMIF($B$2:$B$241,AI5,$AB$2:$AB$241)+SUMIF($B$2:$B$241,AI5,$AC$2:$AC$241)</f>
        <v>812480.78928000003</v>
      </c>
      <c r="AK5" s="42">
        <f ca="1">SUMIF($B$2:$B$241,AI5,$AE$2:$AE$241)+SUMIF($B$2:$B$241,AI5,$AF$2:$AF$241)</f>
        <v>979409.27109628974</v>
      </c>
      <c r="AL5" s="43">
        <f t="shared" ca="1" si="0"/>
        <v>0.20545529693596509</v>
      </c>
      <c r="AN5" s="41" t="s">
        <v>37</v>
      </c>
      <c r="AO5" s="42">
        <f>SUMIF($B$2:$B$241,AN5,$AD$2:$AD$241)</f>
        <v>192410.46204000004</v>
      </c>
      <c r="AP5" s="42">
        <f>SUMIF($B$2:$B$241,AN5,$AG$2:$AG$241)</f>
        <v>170174.30784565519</v>
      </c>
      <c r="AQ5" s="43">
        <f t="shared" si="1"/>
        <v>-0.11556624290898587</v>
      </c>
      <c r="AS5" s="41" t="s">
        <v>37</v>
      </c>
      <c r="AT5" s="42">
        <f>SUMIF($B$2:$B$241,AS5,$AB$2:$AB$241)+SUMIF($B$2:$B$241,AS5,$AC$2:$AC$241)+SUMIF($B$2:$B$241,AS5,$AD$2:$AD$241)</f>
        <v>1004891.25132</v>
      </c>
      <c r="AU5" s="42">
        <f ca="1">SUMIF($B$2:$B$241,AS5,$AE$2:$AE$241)+SUMIF($B$2:$B$241,AS5,$AF$2:$AF$241)+SUMIF($B$2:$B$241,AS5,$AG$2:$AG$241)</f>
        <v>1149583.578941945</v>
      </c>
      <c r="AV5" s="43">
        <f t="shared" ca="1" si="2"/>
        <v>0.14398804590236081</v>
      </c>
    </row>
    <row r="6" spans="1:48" ht="11.25" customHeight="1" x14ac:dyDescent="0.25">
      <c r="A6" s="4" t="s">
        <v>21</v>
      </c>
      <c r="B6" s="4" t="s">
        <v>39</v>
      </c>
      <c r="C6" s="4" t="s">
        <v>40</v>
      </c>
      <c r="D6" s="4" t="s">
        <v>38</v>
      </c>
      <c r="E6" s="4" t="s">
        <v>25</v>
      </c>
      <c r="F6" s="4" t="s">
        <v>25</v>
      </c>
      <c r="G6" s="4" t="s">
        <v>25</v>
      </c>
      <c r="H6" s="4" t="s">
        <v>35</v>
      </c>
      <c r="I6" s="5">
        <v>44501</v>
      </c>
      <c r="J6" s="6">
        <v>0</v>
      </c>
      <c r="K6" s="6">
        <v>0</v>
      </c>
      <c r="L6" s="6">
        <v>16.108000000000001</v>
      </c>
      <c r="M6" s="6">
        <v>16.108000000000001</v>
      </c>
      <c r="N6" s="6">
        <v>16.108000000000001</v>
      </c>
      <c r="O6" s="6">
        <v>16.108000000000001</v>
      </c>
      <c r="P6" s="6">
        <v>0</v>
      </c>
      <c r="Q6" s="4" t="s">
        <v>26</v>
      </c>
      <c r="R6" s="4">
        <v>0</v>
      </c>
      <c r="S6" s="6">
        <v>0</v>
      </c>
      <c r="T6" s="6">
        <v>21</v>
      </c>
      <c r="U6" s="6">
        <v>48</v>
      </c>
      <c r="V6" s="6">
        <f>IF(ISERROR(VLOOKUP($S$6,'TAR FIN'!$A$1:$O$86,15,0)),0,VLOOKUP($S$6,'TAR FIN'!$A$1:$O$86,15,0))</f>
        <v>0</v>
      </c>
      <c r="W6" s="6">
        <f>IF(ISERROR(VLOOKUP($T$6,'TAR FIN'!$A$1:$O$86,15,0)),0,VLOOKUP($T$6,'TAR FIN'!$A$1:$O$86,15,0))</f>
        <v>67.53</v>
      </c>
      <c r="X6" s="6">
        <f>IF(ISERROR(VLOOKUP($U$6,'TAR FIN'!$A$1:$O$86,15,0)),0,VLOOKUP($U$6,'TAR FIN'!$A$1:$O$86,15,0))</f>
        <v>131.87</v>
      </c>
      <c r="Y6" s="6"/>
      <c r="Z6" s="6">
        <f ca="1">('TUSD BE'!$AM$12+'TUSD BF'!$AM$12+'TUSD CVA'!$AM$12)*1</f>
        <v>97.13883152087493</v>
      </c>
      <c r="AA6" s="6">
        <f>('TE BE'!$AB$6+'TE BF'!$AB$6+'TE CVA'!$AB$6)*1</f>
        <v>116.42847759142431</v>
      </c>
      <c r="AB6" s="6">
        <f>$K$6*$V$6</f>
        <v>0</v>
      </c>
      <c r="AC6" s="6">
        <f>$M$6*$W$6</f>
        <v>1087.77324</v>
      </c>
      <c r="AD6" s="6">
        <f>$O$6*$X$6</f>
        <v>2124.1619600000004</v>
      </c>
      <c r="AE6" s="6">
        <f>$K$6*$Y$6</f>
        <v>0</v>
      </c>
      <c r="AF6" s="6">
        <f ca="1">$M$6*$Z$6</f>
        <v>1564.7122981382533</v>
      </c>
      <c r="AG6" s="6">
        <f>$O$6*$AA$6</f>
        <v>1875.429917042663</v>
      </c>
      <c r="AI6" s="41" t="s">
        <v>44</v>
      </c>
      <c r="AJ6" s="42">
        <f>SUMIF($B$2:$B$241,AI6,$AB$2:$AB$241)+SUMIF($B$2:$B$241,AI6,$AC$2:$AC$241)</f>
        <v>150459.71906000003</v>
      </c>
      <c r="AK6" s="42">
        <f ca="1">SUMIF($B$2:$B$241,AI6,$AE$2:$AE$241)+SUMIF($B$2:$B$241,AI6,$AF$2:$AF$241)</f>
        <v>181059.82423788455</v>
      </c>
      <c r="AL6" s="43">
        <f t="shared" ca="1" si="0"/>
        <v>0.20337739143113698</v>
      </c>
      <c r="AN6" s="41" t="s">
        <v>44</v>
      </c>
      <c r="AO6" s="42">
        <f>SUMIF($B$2:$B$241,AN6,$AD$2:$AD$241)</f>
        <v>35632.610930000003</v>
      </c>
      <c r="AP6" s="42">
        <f>SUMIF($B$2:$B$241,AN6,$AG$2:$AG$241)</f>
        <v>31459.504394775893</v>
      </c>
      <c r="AQ6" s="43">
        <f t="shared" si="1"/>
        <v>-0.11711481214279096</v>
      </c>
      <c r="AS6" s="41" t="s">
        <v>44</v>
      </c>
      <c r="AT6" s="42">
        <f>SUMIF($B$2:$B$241,AS6,$AB$2:$AB$241)+SUMIF($B$2:$B$241,AS6,$AC$2:$AC$241)+SUMIF($B$2:$B$241,AS6,$AD$2:$AD$241)</f>
        <v>186092.32999000003</v>
      </c>
      <c r="AU6" s="42">
        <f ca="1">SUMIF($B$2:$B$241,AS6,$AE$2:$AE$241)+SUMIF($B$2:$B$241,AS6,$AF$2:$AF$241)+SUMIF($B$2:$B$241,AS6,$AG$2:$AG$241)</f>
        <v>212519.32863266044</v>
      </c>
      <c r="AV6" s="43">
        <f t="shared" ca="1" si="2"/>
        <v>0.14201014434114789</v>
      </c>
    </row>
    <row r="7" spans="1:48" ht="11.25" customHeight="1" x14ac:dyDescent="0.25">
      <c r="A7" s="4" t="s">
        <v>21</v>
      </c>
      <c r="B7" s="4" t="s">
        <v>39</v>
      </c>
      <c r="C7" s="4" t="s">
        <v>40</v>
      </c>
      <c r="D7" s="4" t="s">
        <v>38</v>
      </c>
      <c r="E7" s="4" t="s">
        <v>25</v>
      </c>
      <c r="F7" s="4" t="s">
        <v>25</v>
      </c>
      <c r="G7" s="4" t="s">
        <v>25</v>
      </c>
      <c r="H7" s="4" t="s">
        <v>35</v>
      </c>
      <c r="I7" s="5">
        <v>44531</v>
      </c>
      <c r="J7" s="6">
        <v>0</v>
      </c>
      <c r="K7" s="6">
        <v>0</v>
      </c>
      <c r="L7" s="6">
        <v>13.367000000000001</v>
      </c>
      <c r="M7" s="6">
        <v>13.367000000000001</v>
      </c>
      <c r="N7" s="6">
        <v>13.367000000000001</v>
      </c>
      <c r="O7" s="6">
        <v>13.367000000000001</v>
      </c>
      <c r="P7" s="6">
        <v>0</v>
      </c>
      <c r="Q7" s="4" t="s">
        <v>26</v>
      </c>
      <c r="R7" s="4">
        <v>0</v>
      </c>
      <c r="S7" s="6">
        <v>0</v>
      </c>
      <c r="T7" s="6">
        <v>21</v>
      </c>
      <c r="U7" s="6">
        <v>48</v>
      </c>
      <c r="V7" s="6">
        <f>IF(ISERROR(VLOOKUP($S$7,'TAR FIN'!$A$1:$O$86,15,0)),0,VLOOKUP($S$7,'TAR FIN'!$A$1:$O$86,15,0))</f>
        <v>0</v>
      </c>
      <c r="W7" s="6">
        <f>IF(ISERROR(VLOOKUP($T$7,'TAR FIN'!$A$1:$O$86,15,0)),0,VLOOKUP($T$7,'TAR FIN'!$A$1:$O$86,15,0))</f>
        <v>67.53</v>
      </c>
      <c r="X7" s="6">
        <f>IF(ISERROR(VLOOKUP($U$7,'TAR FIN'!$A$1:$O$86,15,0)),0,VLOOKUP($U$7,'TAR FIN'!$A$1:$O$86,15,0))</f>
        <v>131.87</v>
      </c>
      <c r="Y7" s="6"/>
      <c r="Z7" s="6">
        <f ca="1">('TUSD BE'!$AM$12+'TUSD BF'!$AM$12+'TUSD CVA'!$AM$12)*1</f>
        <v>97.13883152087493</v>
      </c>
      <c r="AA7" s="6">
        <f>('TE BE'!$AB$6+'TE BF'!$AB$6+'TE CVA'!$AB$6)*1</f>
        <v>116.42847759142431</v>
      </c>
      <c r="AB7" s="6">
        <f>$K$7*$V$7</f>
        <v>0</v>
      </c>
      <c r="AC7" s="6">
        <f>$M$7*$W$7</f>
        <v>902.67351000000008</v>
      </c>
      <c r="AD7" s="6">
        <f>$O$7*$X$7</f>
        <v>1762.7062900000001</v>
      </c>
      <c r="AE7" s="6">
        <f>$K$7*$Y$7</f>
        <v>0</v>
      </c>
      <c r="AF7" s="6">
        <f ca="1">$M$7*$Z$7</f>
        <v>1298.4547609395354</v>
      </c>
      <c r="AG7" s="6">
        <f>$O$7*$AA$7</f>
        <v>1556.2994599645688</v>
      </c>
      <c r="AI7" s="41" t="s">
        <v>580</v>
      </c>
      <c r="AJ7" s="42">
        <f>+$AJ$2</f>
        <v>381552.59479000006</v>
      </c>
      <c r="AK7" s="42">
        <f ca="1">+$AK$2</f>
        <v>482493.0341760444</v>
      </c>
      <c r="AL7" s="43">
        <f t="shared" ca="1" si="0"/>
        <v>0.26455183574783492</v>
      </c>
      <c r="AN7" s="41" t="s">
        <v>580</v>
      </c>
      <c r="AO7" s="42">
        <f>+$AO$2</f>
        <v>172116.06464999996</v>
      </c>
      <c r="AP7" s="42">
        <f>+$AP$2</f>
        <v>151961.86680993906</v>
      </c>
      <c r="AQ7" s="43">
        <f t="shared" si="1"/>
        <v>-0.11709655273053499</v>
      </c>
      <c r="AS7" s="41" t="s">
        <v>580</v>
      </c>
      <c r="AT7" s="42">
        <f>+$AT$2</f>
        <v>553668.65944000008</v>
      </c>
      <c r="AU7" s="42">
        <f ca="1">+$AU$2</f>
        <v>634454.90098598343</v>
      </c>
      <c r="AV7" s="43">
        <f t="shared" ca="1" si="2"/>
        <v>0.14591080814957702</v>
      </c>
    </row>
    <row r="8" spans="1:48" ht="11.25" customHeight="1" x14ac:dyDescent="0.25">
      <c r="A8" s="4" t="s">
        <v>21</v>
      </c>
      <c r="B8" s="4" t="s">
        <v>39</v>
      </c>
      <c r="C8" s="4" t="s">
        <v>40</v>
      </c>
      <c r="D8" s="4" t="s">
        <v>38</v>
      </c>
      <c r="E8" s="4" t="s">
        <v>25</v>
      </c>
      <c r="F8" s="4" t="s">
        <v>25</v>
      </c>
      <c r="G8" s="4" t="s">
        <v>25</v>
      </c>
      <c r="H8" s="4" t="s">
        <v>35</v>
      </c>
      <c r="I8" s="5">
        <v>44562</v>
      </c>
      <c r="J8" s="6">
        <v>0</v>
      </c>
      <c r="K8" s="6">
        <v>0</v>
      </c>
      <c r="L8" s="6">
        <v>11.331</v>
      </c>
      <c r="M8" s="6">
        <v>11.331</v>
      </c>
      <c r="N8" s="6">
        <v>11.331</v>
      </c>
      <c r="O8" s="6">
        <v>11.331</v>
      </c>
      <c r="P8" s="6">
        <v>0</v>
      </c>
      <c r="Q8" s="4" t="s">
        <v>26</v>
      </c>
      <c r="R8" s="4">
        <v>0</v>
      </c>
      <c r="S8" s="6">
        <v>0</v>
      </c>
      <c r="T8" s="6">
        <v>21</v>
      </c>
      <c r="U8" s="6">
        <v>48</v>
      </c>
      <c r="V8" s="6">
        <f>IF(ISERROR(VLOOKUP($S$8,'TAR FIN'!$A$1:$O$86,15,0)),0,VLOOKUP($S$8,'TAR FIN'!$A$1:$O$86,15,0))</f>
        <v>0</v>
      </c>
      <c r="W8" s="6">
        <f>IF(ISERROR(VLOOKUP($T$8,'TAR FIN'!$A$1:$O$86,15,0)),0,VLOOKUP($T$8,'TAR FIN'!$A$1:$O$86,15,0))</f>
        <v>67.53</v>
      </c>
      <c r="X8" s="6">
        <f>IF(ISERROR(VLOOKUP($U$8,'TAR FIN'!$A$1:$O$86,15,0)),0,VLOOKUP($U$8,'TAR FIN'!$A$1:$O$86,15,0))</f>
        <v>131.87</v>
      </c>
      <c r="Y8" s="6"/>
      <c r="Z8" s="6">
        <f ca="1">('TUSD BE'!$AM$12+'TUSD BF'!$AM$12+'TUSD CVA'!$AM$12)*1</f>
        <v>97.13883152087493</v>
      </c>
      <c r="AA8" s="6">
        <f>('TE BE'!$AB$6+'TE BF'!$AB$6+'TE CVA'!$AB$6)*1</f>
        <v>116.42847759142431</v>
      </c>
      <c r="AB8" s="6">
        <f>$K$8*$V$8</f>
        <v>0</v>
      </c>
      <c r="AC8" s="6">
        <f>$M$8*$W$8</f>
        <v>765.18242999999995</v>
      </c>
      <c r="AD8" s="6">
        <f>$O$8*$X$8</f>
        <v>1494.2189699999999</v>
      </c>
      <c r="AE8" s="6">
        <f>$K$8*$Y$8</f>
        <v>0</v>
      </c>
      <c r="AF8" s="6">
        <f ca="1">$M$8*$Z$8</f>
        <v>1100.6800999630339</v>
      </c>
      <c r="AG8" s="6">
        <f>$O$8*$AA$8</f>
        <v>1319.2510795884289</v>
      </c>
      <c r="AI8" s="41" t="s">
        <v>77</v>
      </c>
      <c r="AJ8" s="42">
        <f>+$AJ$3+$AJ$4+$AJ$5+$AJ$6</f>
        <v>8090787.5803999994</v>
      </c>
      <c r="AK8" s="42">
        <f ca="1">+$AK$3+$AK$4+$AK$5+$AK$6</f>
        <v>9754807.6344327647</v>
      </c>
      <c r="AL8" s="43">
        <f t="shared" ca="1" si="0"/>
        <v>0.20566848869742516</v>
      </c>
      <c r="AN8" s="41" t="s">
        <v>77</v>
      </c>
      <c r="AO8" s="42">
        <f>+$AO$3+$AO$4+$AO$5+$AO$6</f>
        <v>1923125.38665</v>
      </c>
      <c r="AP8" s="42">
        <f>+$AP$3+$AP$4+$AP$5+$AP$6</f>
        <v>1702940.0109418679</v>
      </c>
      <c r="AQ8" s="43">
        <f t="shared" si="1"/>
        <v>-0.11449351001064223</v>
      </c>
      <c r="AS8" s="41" t="s">
        <v>77</v>
      </c>
      <c r="AT8" s="42">
        <f>+$AT$3+$AT$4+$AT$5+$AT$6</f>
        <v>10013912.967050001</v>
      </c>
      <c r="AU8" s="42">
        <f ca="1">+$AU$3+$AU$4+$AU$5+$AU$6</f>
        <v>11457747.645374633</v>
      </c>
      <c r="AV8" s="43">
        <f t="shared" ca="1" si="2"/>
        <v>0.14418286668512681</v>
      </c>
    </row>
    <row r="9" spans="1:48" ht="11.25" customHeight="1" x14ac:dyDescent="0.25">
      <c r="A9" s="4" t="s">
        <v>21</v>
      </c>
      <c r="B9" s="4" t="s">
        <v>39</v>
      </c>
      <c r="C9" s="4" t="s">
        <v>40</v>
      </c>
      <c r="D9" s="4" t="s">
        <v>38</v>
      </c>
      <c r="E9" s="4" t="s">
        <v>25</v>
      </c>
      <c r="F9" s="4" t="s">
        <v>25</v>
      </c>
      <c r="G9" s="4" t="s">
        <v>25</v>
      </c>
      <c r="H9" s="4" t="s">
        <v>35</v>
      </c>
      <c r="I9" s="5">
        <v>44593</v>
      </c>
      <c r="J9" s="6">
        <v>0</v>
      </c>
      <c r="K9" s="6">
        <v>0</v>
      </c>
      <c r="L9" s="6">
        <v>29.956</v>
      </c>
      <c r="M9" s="6">
        <v>29.956</v>
      </c>
      <c r="N9" s="6">
        <v>29.956</v>
      </c>
      <c r="O9" s="6">
        <v>29.956</v>
      </c>
      <c r="P9" s="6">
        <v>0</v>
      </c>
      <c r="Q9" s="4" t="s">
        <v>26</v>
      </c>
      <c r="R9" s="4">
        <v>0</v>
      </c>
      <c r="S9" s="6">
        <v>0</v>
      </c>
      <c r="T9" s="6">
        <v>21</v>
      </c>
      <c r="U9" s="6">
        <v>48</v>
      </c>
      <c r="V9" s="6">
        <f>IF(ISERROR(VLOOKUP($S$9,'TAR FIN'!$A$1:$O$86,15,0)),0,VLOOKUP($S$9,'TAR FIN'!$A$1:$O$86,15,0))</f>
        <v>0</v>
      </c>
      <c r="W9" s="6">
        <f>IF(ISERROR(VLOOKUP($T$9,'TAR FIN'!$A$1:$O$86,15,0)),0,VLOOKUP($T$9,'TAR FIN'!$A$1:$O$86,15,0))</f>
        <v>67.53</v>
      </c>
      <c r="X9" s="6">
        <f>IF(ISERROR(VLOOKUP($U$9,'TAR FIN'!$A$1:$O$86,15,0)),0,VLOOKUP($U$9,'TAR FIN'!$A$1:$O$86,15,0))</f>
        <v>131.87</v>
      </c>
      <c r="Y9" s="6"/>
      <c r="Z9" s="6">
        <f ca="1">('TUSD BE'!$AM$12+'TUSD BF'!$AM$12+'TUSD CVA'!$AM$12)*1</f>
        <v>97.13883152087493</v>
      </c>
      <c r="AA9" s="6">
        <f>('TE BE'!$AB$6+'TE BF'!$AB$6+'TE CVA'!$AB$6)*1</f>
        <v>116.42847759142431</v>
      </c>
      <c r="AB9" s="6">
        <f>$K$9*$V$9</f>
        <v>0</v>
      </c>
      <c r="AC9" s="6">
        <f>$M$9*$W$9</f>
        <v>2022.92868</v>
      </c>
      <c r="AD9" s="6">
        <f>$O$9*$X$9</f>
        <v>3950.29772</v>
      </c>
      <c r="AE9" s="6">
        <f>$K$9*$Y$9</f>
        <v>0</v>
      </c>
      <c r="AF9" s="6">
        <f ca="1">$M$9*$Z$9</f>
        <v>2909.8908370393292</v>
      </c>
      <c r="AG9" s="6">
        <f>$O$9*$AA$9</f>
        <v>3487.7314747287064</v>
      </c>
      <c r="AI9" s="41" t="s">
        <v>581</v>
      </c>
      <c r="AJ9" s="42">
        <f>AJ8+AJ7</f>
        <v>8472340.1751899999</v>
      </c>
      <c r="AK9" s="42">
        <f ca="1">AK8+AK7</f>
        <v>10237300.668608809</v>
      </c>
      <c r="AL9" s="43">
        <f t="shared" ca="1" si="0"/>
        <v>0.20832030547914449</v>
      </c>
      <c r="AN9" s="41" t="s">
        <v>581</v>
      </c>
      <c r="AO9" s="42">
        <f>AO8+AO7</f>
        <v>2095241.4512999998</v>
      </c>
      <c r="AP9" s="42">
        <f>AP8+AP7</f>
        <v>1854901.877751807</v>
      </c>
      <c r="AQ9" s="43">
        <f t="shared" si="1"/>
        <v>-0.11470734000564631</v>
      </c>
      <c r="AS9" s="41" t="s">
        <v>581</v>
      </c>
      <c r="AT9" s="42">
        <f>AT8+AT7</f>
        <v>10567581.626490001</v>
      </c>
      <c r="AU9" s="42">
        <f ca="1">AU8+AU7</f>
        <v>12092202.546360618</v>
      </c>
      <c r="AV9" s="43">
        <f t="shared" ca="1" si="2"/>
        <v>0.14427339894388092</v>
      </c>
    </row>
    <row r="10" spans="1:48" ht="11.25" customHeight="1" x14ac:dyDescent="0.25">
      <c r="A10" s="4" t="s">
        <v>21</v>
      </c>
      <c r="B10" s="4" t="s">
        <v>39</v>
      </c>
      <c r="C10" s="4" t="s">
        <v>40</v>
      </c>
      <c r="D10" s="4" t="s">
        <v>38</v>
      </c>
      <c r="E10" s="4" t="s">
        <v>25</v>
      </c>
      <c r="F10" s="4" t="s">
        <v>25</v>
      </c>
      <c r="G10" s="4" t="s">
        <v>25</v>
      </c>
      <c r="H10" s="4" t="s">
        <v>35</v>
      </c>
      <c r="I10" s="5">
        <v>44621</v>
      </c>
      <c r="J10" s="6">
        <v>0</v>
      </c>
      <c r="K10" s="6">
        <v>0</v>
      </c>
      <c r="L10" s="6">
        <v>60.271000000000001</v>
      </c>
      <c r="M10" s="6">
        <v>60.271000000000001</v>
      </c>
      <c r="N10" s="6">
        <v>60.271000000000001</v>
      </c>
      <c r="O10" s="6">
        <v>60.271000000000001</v>
      </c>
      <c r="P10" s="6">
        <v>0</v>
      </c>
      <c r="Q10" s="4" t="s">
        <v>26</v>
      </c>
      <c r="R10" s="4">
        <v>0</v>
      </c>
      <c r="S10" s="6">
        <v>0</v>
      </c>
      <c r="T10" s="6">
        <v>21</v>
      </c>
      <c r="U10" s="6">
        <v>48</v>
      </c>
      <c r="V10" s="6">
        <f>IF(ISERROR(VLOOKUP($S$10,'TAR FIN'!$A$1:$O$86,15,0)),0,VLOOKUP($S$10,'TAR FIN'!$A$1:$O$86,15,0))</f>
        <v>0</v>
      </c>
      <c r="W10" s="6">
        <f>IF(ISERROR(VLOOKUP($T$10,'TAR FIN'!$A$1:$O$86,15,0)),0,VLOOKUP($T$10,'TAR FIN'!$A$1:$O$86,15,0))</f>
        <v>67.53</v>
      </c>
      <c r="X10" s="6">
        <f>IF(ISERROR(VLOOKUP($U$10,'TAR FIN'!$A$1:$O$86,15,0)),0,VLOOKUP($U$10,'TAR FIN'!$A$1:$O$86,15,0))</f>
        <v>131.87</v>
      </c>
      <c r="Y10" s="6"/>
      <c r="Z10" s="6">
        <f ca="1">('TUSD BE'!$AM$12+'TUSD BF'!$AM$12+'TUSD CVA'!$AM$12)*1</f>
        <v>97.13883152087493</v>
      </c>
      <c r="AA10" s="6">
        <f>('TE BE'!$AB$6+'TE BF'!$AB$6+'TE CVA'!$AB$6)*1</f>
        <v>116.42847759142431</v>
      </c>
      <c r="AB10" s="6">
        <f>$K$10*$V$10</f>
        <v>0</v>
      </c>
      <c r="AC10" s="6">
        <f>$M$10*$W$10</f>
        <v>4070.1006299999999</v>
      </c>
      <c r="AD10" s="6">
        <f>$O$10*$X$10</f>
        <v>7947.9367700000003</v>
      </c>
      <c r="AE10" s="6">
        <f>$K$10*$Y$10</f>
        <v>0</v>
      </c>
      <c r="AF10" s="6">
        <f ca="1">$M$10*$Z$10</f>
        <v>5854.6545145946529</v>
      </c>
      <c r="AG10" s="6">
        <f>$O$10*$AA$10</f>
        <v>7017.2607729127349</v>
      </c>
    </row>
    <row r="11" spans="1:48" ht="11.25" customHeight="1" x14ac:dyDescent="0.25">
      <c r="A11" s="4" t="s">
        <v>21</v>
      </c>
      <c r="B11" s="4" t="s">
        <v>39</v>
      </c>
      <c r="C11" s="4" t="s">
        <v>40</v>
      </c>
      <c r="D11" s="4" t="s">
        <v>38</v>
      </c>
      <c r="E11" s="4" t="s">
        <v>25</v>
      </c>
      <c r="F11" s="4" t="s">
        <v>25</v>
      </c>
      <c r="G11" s="4" t="s">
        <v>25</v>
      </c>
      <c r="H11" s="4" t="s">
        <v>35</v>
      </c>
      <c r="I11" s="5">
        <v>44652</v>
      </c>
      <c r="J11" s="6">
        <v>0</v>
      </c>
      <c r="K11" s="6">
        <v>0</v>
      </c>
      <c r="L11" s="6">
        <v>50.097000000000001</v>
      </c>
      <c r="M11" s="6">
        <v>50.097000000000001</v>
      </c>
      <c r="N11" s="6">
        <v>50.097000000000001</v>
      </c>
      <c r="O11" s="6">
        <v>50.097000000000001</v>
      </c>
      <c r="P11" s="6">
        <v>0</v>
      </c>
      <c r="Q11" s="4" t="s">
        <v>26</v>
      </c>
      <c r="R11" s="4">
        <v>0</v>
      </c>
      <c r="S11" s="6">
        <v>0</v>
      </c>
      <c r="T11" s="6">
        <v>21</v>
      </c>
      <c r="U11" s="6">
        <v>48</v>
      </c>
      <c r="V11" s="6">
        <f>IF(ISERROR(VLOOKUP($S$11,'TAR FIN'!$A$1:$O$86,15,0)),0,VLOOKUP($S$11,'TAR FIN'!$A$1:$O$86,15,0))</f>
        <v>0</v>
      </c>
      <c r="W11" s="6">
        <f>IF(ISERROR(VLOOKUP($T$11,'TAR FIN'!$A$1:$O$86,15,0)),0,VLOOKUP($T$11,'TAR FIN'!$A$1:$O$86,15,0))</f>
        <v>67.53</v>
      </c>
      <c r="X11" s="6">
        <f>IF(ISERROR(VLOOKUP($U$11,'TAR FIN'!$A$1:$O$86,15,0)),0,VLOOKUP($U$11,'TAR FIN'!$A$1:$O$86,15,0))</f>
        <v>131.87</v>
      </c>
      <c r="Y11" s="6"/>
      <c r="Z11" s="6">
        <f ca="1">('TUSD BE'!$AM$12+'TUSD BF'!$AM$12+'TUSD CVA'!$AM$12)*1</f>
        <v>97.13883152087493</v>
      </c>
      <c r="AA11" s="6">
        <f>('TE BE'!$AB$6+'TE BF'!$AB$6+'TE CVA'!$AB$6)*1</f>
        <v>116.42847759142431</v>
      </c>
      <c r="AB11" s="6">
        <f>$K$11*$V$11</f>
        <v>0</v>
      </c>
      <c r="AC11" s="6">
        <f>$M$11*$W$11</f>
        <v>3383.0504100000003</v>
      </c>
      <c r="AD11" s="6">
        <f>$O$11*$X$11</f>
        <v>6606.2913900000003</v>
      </c>
      <c r="AE11" s="6">
        <f>$K$11*$Y$11</f>
        <v>0</v>
      </c>
      <c r="AF11" s="6">
        <f ca="1">$M$11*$Z$11</f>
        <v>4866.3640427012715</v>
      </c>
      <c r="AG11" s="6">
        <f>$O$11*$AA$11</f>
        <v>5832.7174418975837</v>
      </c>
    </row>
    <row r="12" spans="1:48" ht="11.25" customHeight="1" x14ac:dyDescent="0.25">
      <c r="A12" s="4" t="s">
        <v>21</v>
      </c>
      <c r="B12" s="4" t="s">
        <v>39</v>
      </c>
      <c r="C12" s="4" t="s">
        <v>40</v>
      </c>
      <c r="D12" s="4" t="s">
        <v>38</v>
      </c>
      <c r="E12" s="4" t="s">
        <v>25</v>
      </c>
      <c r="F12" s="4" t="s">
        <v>25</v>
      </c>
      <c r="G12" s="4" t="s">
        <v>25</v>
      </c>
      <c r="H12" s="4" t="s">
        <v>35</v>
      </c>
      <c r="I12" s="5">
        <v>44682</v>
      </c>
      <c r="J12" s="6">
        <v>0</v>
      </c>
      <c r="K12" s="6">
        <v>0</v>
      </c>
      <c r="L12" s="6">
        <v>64.269000000000005</v>
      </c>
      <c r="M12" s="6">
        <v>64.269000000000005</v>
      </c>
      <c r="N12" s="6">
        <v>64.269000000000005</v>
      </c>
      <c r="O12" s="6">
        <v>64.269000000000005</v>
      </c>
      <c r="P12" s="6">
        <v>0</v>
      </c>
      <c r="Q12" s="4" t="s">
        <v>26</v>
      </c>
      <c r="R12" s="4">
        <v>0</v>
      </c>
      <c r="S12" s="6">
        <v>0</v>
      </c>
      <c r="T12" s="6">
        <v>21</v>
      </c>
      <c r="U12" s="6">
        <v>48</v>
      </c>
      <c r="V12" s="6">
        <f>IF(ISERROR(VLOOKUP($S$12,'TAR FIN'!$A$1:$O$86,15,0)),0,VLOOKUP($S$12,'TAR FIN'!$A$1:$O$86,15,0))</f>
        <v>0</v>
      </c>
      <c r="W12" s="6">
        <f>IF(ISERROR(VLOOKUP($T$12,'TAR FIN'!$A$1:$O$86,15,0)),0,VLOOKUP($T$12,'TAR FIN'!$A$1:$O$86,15,0))</f>
        <v>67.53</v>
      </c>
      <c r="X12" s="6">
        <f>IF(ISERROR(VLOOKUP($U$12,'TAR FIN'!$A$1:$O$86,15,0)),0,VLOOKUP($U$12,'TAR FIN'!$A$1:$O$86,15,0))</f>
        <v>131.87</v>
      </c>
      <c r="Y12" s="6"/>
      <c r="Z12" s="6">
        <f ca="1">('TUSD BE'!$AM$12+'TUSD BF'!$AM$12+'TUSD CVA'!$AM$12)*1</f>
        <v>97.13883152087493</v>
      </c>
      <c r="AA12" s="6">
        <f>('TE BE'!$AB$6+'TE BF'!$AB$6+'TE CVA'!$AB$6)*1</f>
        <v>116.42847759142431</v>
      </c>
      <c r="AB12" s="6">
        <f>$K$12*$V$12</f>
        <v>0</v>
      </c>
      <c r="AC12" s="6">
        <f>$M$12*$W$12</f>
        <v>4340.0855700000002</v>
      </c>
      <c r="AD12" s="6">
        <f>$O$12*$X$12</f>
        <v>8475.1530300000013</v>
      </c>
      <c r="AE12" s="6">
        <f>$K$12*$Y$12</f>
        <v>0</v>
      </c>
      <c r="AF12" s="6">
        <f ca="1">$M$12*$Z$12</f>
        <v>6243.0155630151112</v>
      </c>
      <c r="AG12" s="6">
        <f>$O$12*$AA$12</f>
        <v>7482.7418263232494</v>
      </c>
      <c r="AU12" s="75"/>
    </row>
    <row r="13" spans="1:48" ht="11.25" customHeight="1" x14ac:dyDescent="0.25">
      <c r="A13" s="4" t="s">
        <v>21</v>
      </c>
      <c r="B13" s="4" t="s">
        <v>39</v>
      </c>
      <c r="C13" s="4" t="s">
        <v>40</v>
      </c>
      <c r="D13" s="4" t="s">
        <v>38</v>
      </c>
      <c r="E13" s="4" t="s">
        <v>25</v>
      </c>
      <c r="F13" s="4" t="s">
        <v>25</v>
      </c>
      <c r="G13" s="4" t="s">
        <v>25</v>
      </c>
      <c r="H13" s="4" t="s">
        <v>35</v>
      </c>
      <c r="I13" s="5">
        <v>44713</v>
      </c>
      <c r="J13" s="6">
        <v>0</v>
      </c>
      <c r="K13" s="6">
        <v>0</v>
      </c>
      <c r="L13" s="6">
        <v>67.215000000000003</v>
      </c>
      <c r="M13" s="6">
        <v>67.215000000000003</v>
      </c>
      <c r="N13" s="6">
        <v>67.215000000000003</v>
      </c>
      <c r="O13" s="6">
        <v>67.215000000000003</v>
      </c>
      <c r="P13" s="6">
        <v>0</v>
      </c>
      <c r="Q13" s="4" t="s">
        <v>26</v>
      </c>
      <c r="R13" s="4">
        <v>0</v>
      </c>
      <c r="S13" s="6">
        <v>0</v>
      </c>
      <c r="T13" s="6">
        <v>21</v>
      </c>
      <c r="U13" s="6">
        <v>48</v>
      </c>
      <c r="V13" s="6">
        <f>IF(ISERROR(VLOOKUP($S$13,'TAR FIN'!$A$1:$O$86,15,0)),0,VLOOKUP($S$13,'TAR FIN'!$A$1:$O$86,15,0))</f>
        <v>0</v>
      </c>
      <c r="W13" s="6">
        <f>IF(ISERROR(VLOOKUP($T$13,'TAR FIN'!$A$1:$O$86,15,0)),0,VLOOKUP($T$13,'TAR FIN'!$A$1:$O$86,15,0))</f>
        <v>67.53</v>
      </c>
      <c r="X13" s="6">
        <f>IF(ISERROR(VLOOKUP($U$13,'TAR FIN'!$A$1:$O$86,15,0)),0,VLOOKUP($U$13,'TAR FIN'!$A$1:$O$86,15,0))</f>
        <v>131.87</v>
      </c>
      <c r="Y13" s="6"/>
      <c r="Z13" s="6">
        <f ca="1">('TUSD BE'!$AM$12+'TUSD BF'!$AM$12+'TUSD CVA'!$AM$12)*1</f>
        <v>97.13883152087493</v>
      </c>
      <c r="AA13" s="6">
        <f>('TE BE'!$AB$6+'TE BF'!$AB$6+'TE CVA'!$AB$6)*1</f>
        <v>116.42847759142431</v>
      </c>
      <c r="AB13" s="6">
        <f>$K$13*$V$13</f>
        <v>0</v>
      </c>
      <c r="AC13" s="6">
        <f>$M$13*$W$13</f>
        <v>4539.0289499999999</v>
      </c>
      <c r="AD13" s="6">
        <f>$O$13*$X$13</f>
        <v>8863.6420500000004</v>
      </c>
      <c r="AE13" s="6">
        <f>$K$13*$Y$13</f>
        <v>0</v>
      </c>
      <c r="AF13" s="6">
        <f ca="1">$M$13*$Z$13</f>
        <v>6529.1865606756091</v>
      </c>
      <c r="AG13" s="6">
        <f>$O$13*$AA$13</f>
        <v>7825.7401213075855</v>
      </c>
    </row>
    <row r="14" spans="1:48" ht="11.25" customHeight="1" x14ac:dyDescent="0.25">
      <c r="A14" s="4" t="s">
        <v>21</v>
      </c>
      <c r="B14" s="4" t="s">
        <v>39</v>
      </c>
      <c r="C14" s="4" t="s">
        <v>40</v>
      </c>
      <c r="D14" s="4" t="s">
        <v>38</v>
      </c>
      <c r="E14" s="4" t="s">
        <v>25</v>
      </c>
      <c r="F14" s="4" t="s">
        <v>25</v>
      </c>
      <c r="G14" s="4" t="s">
        <v>25</v>
      </c>
      <c r="H14" s="4" t="s">
        <v>25</v>
      </c>
      <c r="I14" s="5">
        <v>44378</v>
      </c>
      <c r="J14" s="6">
        <v>292</v>
      </c>
      <c r="K14" s="6">
        <v>292</v>
      </c>
      <c r="L14" s="6">
        <v>0</v>
      </c>
      <c r="M14" s="6">
        <v>0</v>
      </c>
      <c r="N14" s="6">
        <v>0</v>
      </c>
      <c r="O14" s="6">
        <v>0</v>
      </c>
      <c r="P14" s="6">
        <v>2</v>
      </c>
      <c r="Q14" s="4" t="s">
        <v>26</v>
      </c>
      <c r="R14" s="4">
        <v>0</v>
      </c>
      <c r="S14" s="6">
        <v>3</v>
      </c>
      <c r="T14" s="6">
        <v>0</v>
      </c>
      <c r="U14" s="6">
        <v>0</v>
      </c>
      <c r="V14" s="6">
        <f>IF(ISERROR(VLOOKUP($S$14,'TAR FIN'!$A$1:$O$86,15,0)),0,VLOOKUP($S$14,'TAR FIN'!$A$1:$O$86,15,0))</f>
        <v>31.06</v>
      </c>
      <c r="W14" s="6">
        <f>IF(ISERROR(VLOOKUP($T$14,'TAR FIN'!$A$1:$O$86,15,0)),0,VLOOKUP($T$14,'TAR FIN'!$A$1:$O$86,15,0))</f>
        <v>0</v>
      </c>
      <c r="X14" s="6">
        <f>IF(ISERROR(VLOOKUP($U$14,'TAR FIN'!$A$1:$O$86,15,0)),0,VLOOKUP($U$14,'TAR FIN'!$A$1:$O$86,15,0))</f>
        <v>0</v>
      </c>
      <c r="Y14" s="6">
        <f ca="1">('TUSD BE'!$AM$10+'TUSD BF'!$AM$10+'TUSD CVA'!$AM$10)*1</f>
        <v>37.6958879256484</v>
      </c>
      <c r="Z14" s="6"/>
      <c r="AA14" s="6"/>
      <c r="AB14" s="6">
        <f>$K$14*$V$14</f>
        <v>9069.52</v>
      </c>
      <c r="AC14" s="6">
        <f>$M$14*$W$14</f>
        <v>0</v>
      </c>
      <c r="AD14" s="6">
        <f>$O$14*$X$14</f>
        <v>0</v>
      </c>
      <c r="AE14" s="6">
        <f ca="1">$K$14*$Y$14</f>
        <v>11007.199274289333</v>
      </c>
      <c r="AF14" s="6">
        <f>$M$14*$Z$14</f>
        <v>0</v>
      </c>
      <c r="AG14" s="6">
        <f>$O$14*$AA$14</f>
        <v>0</v>
      </c>
      <c r="AU14" s="75"/>
    </row>
    <row r="15" spans="1:48" ht="11.25" customHeight="1" x14ac:dyDescent="0.25">
      <c r="A15" s="4" t="s">
        <v>21</v>
      </c>
      <c r="B15" s="4" t="s">
        <v>39</v>
      </c>
      <c r="C15" s="4" t="s">
        <v>40</v>
      </c>
      <c r="D15" s="4" t="s">
        <v>38</v>
      </c>
      <c r="E15" s="4" t="s">
        <v>25</v>
      </c>
      <c r="F15" s="4" t="s">
        <v>25</v>
      </c>
      <c r="G15" s="4" t="s">
        <v>25</v>
      </c>
      <c r="H15" s="4" t="s">
        <v>25</v>
      </c>
      <c r="I15" s="5">
        <v>44409</v>
      </c>
      <c r="J15" s="6">
        <v>297</v>
      </c>
      <c r="K15" s="6">
        <v>297</v>
      </c>
      <c r="L15" s="6">
        <v>0</v>
      </c>
      <c r="M15" s="6">
        <v>0</v>
      </c>
      <c r="N15" s="6">
        <v>0</v>
      </c>
      <c r="O15" s="6">
        <v>0</v>
      </c>
      <c r="P15" s="6">
        <v>2</v>
      </c>
      <c r="Q15" s="4" t="s">
        <v>26</v>
      </c>
      <c r="R15" s="4">
        <v>0</v>
      </c>
      <c r="S15" s="6">
        <v>3</v>
      </c>
      <c r="T15" s="6">
        <v>0</v>
      </c>
      <c r="U15" s="6">
        <v>0</v>
      </c>
      <c r="V15" s="6">
        <f>IF(ISERROR(VLOOKUP($S$15,'TAR FIN'!$A$1:$O$86,15,0)),0,VLOOKUP($S$15,'TAR FIN'!$A$1:$O$86,15,0))</f>
        <v>31.06</v>
      </c>
      <c r="W15" s="6">
        <f>IF(ISERROR(VLOOKUP($T$15,'TAR FIN'!$A$1:$O$86,15,0)),0,VLOOKUP($T$15,'TAR FIN'!$A$1:$O$86,15,0))</f>
        <v>0</v>
      </c>
      <c r="X15" s="6">
        <f>IF(ISERROR(VLOOKUP($U$15,'TAR FIN'!$A$1:$O$86,15,0)),0,VLOOKUP($U$15,'TAR FIN'!$A$1:$O$86,15,0))</f>
        <v>0</v>
      </c>
      <c r="Y15" s="6">
        <f ca="1">('TUSD BE'!$AM$10+'TUSD BF'!$AM$10+'TUSD CVA'!$AM$10)*1</f>
        <v>37.6958879256484</v>
      </c>
      <c r="Z15" s="6"/>
      <c r="AA15" s="6"/>
      <c r="AB15" s="6">
        <f>$K$15*$V$15</f>
        <v>9224.82</v>
      </c>
      <c r="AC15" s="6">
        <f>$M$15*$W$15</f>
        <v>0</v>
      </c>
      <c r="AD15" s="6">
        <f>$O$15*$X$15</f>
        <v>0</v>
      </c>
      <c r="AE15" s="6">
        <f ca="1">$K$15*$Y$15</f>
        <v>11195.678713917574</v>
      </c>
      <c r="AF15" s="6">
        <f>$M$15*$Z$15</f>
        <v>0</v>
      </c>
      <c r="AG15" s="6">
        <f>$O$15*$AA$15</f>
        <v>0</v>
      </c>
    </row>
    <row r="16" spans="1:48" ht="11.25" customHeight="1" x14ac:dyDescent="0.25">
      <c r="A16" s="4" t="s">
        <v>21</v>
      </c>
      <c r="B16" s="4" t="s">
        <v>39</v>
      </c>
      <c r="C16" s="4" t="s">
        <v>40</v>
      </c>
      <c r="D16" s="4" t="s">
        <v>38</v>
      </c>
      <c r="E16" s="4" t="s">
        <v>25</v>
      </c>
      <c r="F16" s="4" t="s">
        <v>25</v>
      </c>
      <c r="G16" s="4" t="s">
        <v>25</v>
      </c>
      <c r="H16" s="4" t="s">
        <v>25</v>
      </c>
      <c r="I16" s="5">
        <v>44440</v>
      </c>
      <c r="J16" s="6">
        <v>381</v>
      </c>
      <c r="K16" s="6">
        <v>381</v>
      </c>
      <c r="L16" s="6">
        <v>0</v>
      </c>
      <c r="M16" s="6">
        <v>0</v>
      </c>
      <c r="N16" s="6">
        <v>0</v>
      </c>
      <c r="O16" s="6">
        <v>0</v>
      </c>
      <c r="P16" s="6">
        <v>2</v>
      </c>
      <c r="Q16" s="4" t="s">
        <v>26</v>
      </c>
      <c r="R16" s="4">
        <v>0</v>
      </c>
      <c r="S16" s="6">
        <v>3</v>
      </c>
      <c r="T16" s="6">
        <v>0</v>
      </c>
      <c r="U16" s="6">
        <v>0</v>
      </c>
      <c r="V16" s="6">
        <f>IF(ISERROR(VLOOKUP($S$16,'TAR FIN'!$A$1:$O$86,15,0)),0,VLOOKUP($S$16,'TAR FIN'!$A$1:$O$86,15,0))</f>
        <v>31.06</v>
      </c>
      <c r="W16" s="6">
        <f>IF(ISERROR(VLOOKUP($T$16,'TAR FIN'!$A$1:$O$86,15,0)),0,VLOOKUP($T$16,'TAR FIN'!$A$1:$O$86,15,0))</f>
        <v>0</v>
      </c>
      <c r="X16" s="6">
        <f>IF(ISERROR(VLOOKUP($U$16,'TAR FIN'!$A$1:$O$86,15,0)),0,VLOOKUP($U$16,'TAR FIN'!$A$1:$O$86,15,0))</f>
        <v>0</v>
      </c>
      <c r="Y16" s="6">
        <f ca="1">('TUSD BE'!$AM$10+'TUSD BF'!$AM$10+'TUSD CVA'!$AM$10)*1</f>
        <v>37.6958879256484</v>
      </c>
      <c r="Z16" s="6"/>
      <c r="AA16" s="6"/>
      <c r="AB16" s="6">
        <f>$K$16*$V$16</f>
        <v>11833.859999999999</v>
      </c>
      <c r="AC16" s="6">
        <f>$M$16*$W$16</f>
        <v>0</v>
      </c>
      <c r="AD16" s="6">
        <f>$O$16*$X$16</f>
        <v>0</v>
      </c>
      <c r="AE16" s="6">
        <f ca="1">$K$16*$Y$16</f>
        <v>14362.133299672039</v>
      </c>
      <c r="AF16" s="6">
        <f>$M$16*$Z$16</f>
        <v>0</v>
      </c>
      <c r="AG16" s="6">
        <f>$O$16*$AA$16</f>
        <v>0</v>
      </c>
    </row>
    <row r="17" spans="1:47" ht="11.25" customHeight="1" x14ac:dyDescent="0.25">
      <c r="A17" s="4" t="s">
        <v>21</v>
      </c>
      <c r="B17" s="4" t="s">
        <v>39</v>
      </c>
      <c r="C17" s="4" t="s">
        <v>40</v>
      </c>
      <c r="D17" s="4" t="s">
        <v>38</v>
      </c>
      <c r="E17" s="4" t="s">
        <v>25</v>
      </c>
      <c r="F17" s="4" t="s">
        <v>25</v>
      </c>
      <c r="G17" s="4" t="s">
        <v>25</v>
      </c>
      <c r="H17" s="4" t="s">
        <v>25</v>
      </c>
      <c r="I17" s="5">
        <v>44470</v>
      </c>
      <c r="J17" s="6">
        <v>280</v>
      </c>
      <c r="K17" s="6">
        <v>280</v>
      </c>
      <c r="L17" s="6">
        <v>0</v>
      </c>
      <c r="M17" s="6">
        <v>0</v>
      </c>
      <c r="N17" s="6">
        <v>0</v>
      </c>
      <c r="O17" s="6">
        <v>0</v>
      </c>
      <c r="P17" s="6">
        <v>2</v>
      </c>
      <c r="Q17" s="4" t="s">
        <v>26</v>
      </c>
      <c r="R17" s="4">
        <v>0</v>
      </c>
      <c r="S17" s="6">
        <v>3</v>
      </c>
      <c r="T17" s="6">
        <v>0</v>
      </c>
      <c r="U17" s="6">
        <v>0</v>
      </c>
      <c r="V17" s="6">
        <f>IF(ISERROR(VLOOKUP($S$17,'TAR FIN'!$A$1:$O$86,15,0)),0,VLOOKUP($S$17,'TAR FIN'!$A$1:$O$86,15,0))</f>
        <v>31.06</v>
      </c>
      <c r="W17" s="6">
        <f>IF(ISERROR(VLOOKUP($T$17,'TAR FIN'!$A$1:$O$86,15,0)),0,VLOOKUP($T$17,'TAR FIN'!$A$1:$O$86,15,0))</f>
        <v>0</v>
      </c>
      <c r="X17" s="6">
        <f>IF(ISERROR(VLOOKUP($U$17,'TAR FIN'!$A$1:$O$86,15,0)),0,VLOOKUP($U$17,'TAR FIN'!$A$1:$O$86,15,0))</f>
        <v>0</v>
      </c>
      <c r="Y17" s="6">
        <f ca="1">('TUSD BE'!$AM$10+'TUSD BF'!$AM$10+'TUSD CVA'!$AM$10)*1</f>
        <v>37.6958879256484</v>
      </c>
      <c r="Z17" s="6"/>
      <c r="AA17" s="6"/>
      <c r="AB17" s="6">
        <f>$K$17*$V$17</f>
        <v>8696.7999999999993</v>
      </c>
      <c r="AC17" s="6">
        <f>$M$17*$W$17</f>
        <v>0</v>
      </c>
      <c r="AD17" s="6">
        <f>$O$17*$X$17</f>
        <v>0</v>
      </c>
      <c r="AE17" s="6">
        <f ca="1">$K$17*$Y$17</f>
        <v>10554.848619181552</v>
      </c>
      <c r="AF17" s="6">
        <f>$M$17*$Z$17</f>
        <v>0</v>
      </c>
      <c r="AG17" s="6">
        <f>$O$17*$AA$17</f>
        <v>0</v>
      </c>
      <c r="AU17" s="75"/>
    </row>
    <row r="18" spans="1:47" ht="11.25" customHeight="1" x14ac:dyDescent="0.25">
      <c r="A18" s="4" t="s">
        <v>21</v>
      </c>
      <c r="B18" s="4" t="s">
        <v>39</v>
      </c>
      <c r="C18" s="4" t="s">
        <v>40</v>
      </c>
      <c r="D18" s="4" t="s">
        <v>38</v>
      </c>
      <c r="E18" s="4" t="s">
        <v>25</v>
      </c>
      <c r="F18" s="4" t="s">
        <v>25</v>
      </c>
      <c r="G18" s="4" t="s">
        <v>25</v>
      </c>
      <c r="H18" s="4" t="s">
        <v>25</v>
      </c>
      <c r="I18" s="5">
        <v>44501</v>
      </c>
      <c r="J18" s="6">
        <v>280</v>
      </c>
      <c r="K18" s="6">
        <v>280</v>
      </c>
      <c r="L18" s="6">
        <v>0</v>
      </c>
      <c r="M18" s="6">
        <v>0</v>
      </c>
      <c r="N18" s="6">
        <v>0</v>
      </c>
      <c r="O18" s="6">
        <v>0</v>
      </c>
      <c r="P18" s="6">
        <v>2</v>
      </c>
      <c r="Q18" s="4" t="s">
        <v>26</v>
      </c>
      <c r="R18" s="4">
        <v>0</v>
      </c>
      <c r="S18" s="6">
        <v>3</v>
      </c>
      <c r="T18" s="6">
        <v>0</v>
      </c>
      <c r="U18" s="6">
        <v>0</v>
      </c>
      <c r="V18" s="6">
        <f>IF(ISERROR(VLOOKUP($S$18,'TAR FIN'!$A$1:$O$86,15,0)),0,VLOOKUP($S$18,'TAR FIN'!$A$1:$O$86,15,0))</f>
        <v>31.06</v>
      </c>
      <c r="W18" s="6">
        <f>IF(ISERROR(VLOOKUP($T$18,'TAR FIN'!$A$1:$O$86,15,0)),0,VLOOKUP($T$18,'TAR FIN'!$A$1:$O$86,15,0))</f>
        <v>0</v>
      </c>
      <c r="X18" s="6">
        <f>IF(ISERROR(VLOOKUP($U$18,'TAR FIN'!$A$1:$O$86,15,0)),0,VLOOKUP($U$18,'TAR FIN'!$A$1:$O$86,15,0))</f>
        <v>0</v>
      </c>
      <c r="Y18" s="6">
        <f ca="1">('TUSD BE'!$AM$10+'TUSD BF'!$AM$10+'TUSD CVA'!$AM$10)*1</f>
        <v>37.6958879256484</v>
      </c>
      <c r="Z18" s="6"/>
      <c r="AA18" s="6"/>
      <c r="AB18" s="6">
        <f>$K$18*$V$18</f>
        <v>8696.7999999999993</v>
      </c>
      <c r="AC18" s="6">
        <f>$M$18*$W$18</f>
        <v>0</v>
      </c>
      <c r="AD18" s="6">
        <f>$O$18*$X$18</f>
        <v>0</v>
      </c>
      <c r="AE18" s="6">
        <f ca="1">$K$18*$Y$18</f>
        <v>10554.848619181552</v>
      </c>
      <c r="AF18" s="6">
        <f>$M$18*$Z$18</f>
        <v>0</v>
      </c>
      <c r="AG18" s="6">
        <f>$O$18*$AA$18</f>
        <v>0</v>
      </c>
    </row>
    <row r="19" spans="1:47" ht="11.25" customHeight="1" x14ac:dyDescent="0.25">
      <c r="A19" s="4" t="s">
        <v>21</v>
      </c>
      <c r="B19" s="4" t="s">
        <v>39</v>
      </c>
      <c r="C19" s="4" t="s">
        <v>40</v>
      </c>
      <c r="D19" s="4" t="s">
        <v>38</v>
      </c>
      <c r="E19" s="4" t="s">
        <v>25</v>
      </c>
      <c r="F19" s="4" t="s">
        <v>25</v>
      </c>
      <c r="G19" s="4" t="s">
        <v>25</v>
      </c>
      <c r="H19" s="4" t="s">
        <v>25</v>
      </c>
      <c r="I19" s="5">
        <v>44531</v>
      </c>
      <c r="J19" s="6">
        <v>280</v>
      </c>
      <c r="K19" s="6">
        <v>280</v>
      </c>
      <c r="L19" s="6">
        <v>0</v>
      </c>
      <c r="M19" s="6">
        <v>0</v>
      </c>
      <c r="N19" s="6">
        <v>0</v>
      </c>
      <c r="O19" s="6">
        <v>0</v>
      </c>
      <c r="P19" s="6">
        <v>2</v>
      </c>
      <c r="Q19" s="4" t="s">
        <v>26</v>
      </c>
      <c r="R19" s="4">
        <v>0</v>
      </c>
      <c r="S19" s="6">
        <v>3</v>
      </c>
      <c r="T19" s="6">
        <v>0</v>
      </c>
      <c r="U19" s="6">
        <v>0</v>
      </c>
      <c r="V19" s="6">
        <f>IF(ISERROR(VLOOKUP($S$19,'TAR FIN'!$A$1:$O$86,15,0)),0,VLOOKUP($S$19,'TAR FIN'!$A$1:$O$86,15,0))</f>
        <v>31.06</v>
      </c>
      <c r="W19" s="6">
        <f>IF(ISERROR(VLOOKUP($T$19,'TAR FIN'!$A$1:$O$86,15,0)),0,VLOOKUP($T$19,'TAR FIN'!$A$1:$O$86,15,0))</f>
        <v>0</v>
      </c>
      <c r="X19" s="6">
        <f>IF(ISERROR(VLOOKUP($U$19,'TAR FIN'!$A$1:$O$86,15,0)),0,VLOOKUP($U$19,'TAR FIN'!$A$1:$O$86,15,0))</f>
        <v>0</v>
      </c>
      <c r="Y19" s="6">
        <f ca="1">('TUSD BE'!$AM$10+'TUSD BF'!$AM$10+'TUSD CVA'!$AM$10)*1</f>
        <v>37.6958879256484</v>
      </c>
      <c r="Z19" s="6"/>
      <c r="AA19" s="6"/>
      <c r="AB19" s="6">
        <f>$K$19*$V$19</f>
        <v>8696.7999999999993</v>
      </c>
      <c r="AC19" s="6">
        <f>$M$19*$W$19</f>
        <v>0</v>
      </c>
      <c r="AD19" s="6">
        <f>$O$19*$X$19</f>
        <v>0</v>
      </c>
      <c r="AE19" s="6">
        <f ca="1">$K$19*$Y$19</f>
        <v>10554.848619181552</v>
      </c>
      <c r="AF19" s="6">
        <f>$M$19*$Z$19</f>
        <v>0</v>
      </c>
      <c r="AG19" s="6">
        <f>$O$19*$AA$19</f>
        <v>0</v>
      </c>
    </row>
    <row r="20" spans="1:47" ht="11.25" customHeight="1" x14ac:dyDescent="0.25">
      <c r="A20" s="4" t="s">
        <v>21</v>
      </c>
      <c r="B20" s="4" t="s">
        <v>39</v>
      </c>
      <c r="C20" s="4" t="s">
        <v>40</v>
      </c>
      <c r="D20" s="4" t="s">
        <v>38</v>
      </c>
      <c r="E20" s="4" t="s">
        <v>25</v>
      </c>
      <c r="F20" s="4" t="s">
        <v>25</v>
      </c>
      <c r="G20" s="4" t="s">
        <v>25</v>
      </c>
      <c r="H20" s="4" t="s">
        <v>25</v>
      </c>
      <c r="I20" s="5">
        <v>44562</v>
      </c>
      <c r="J20" s="6">
        <v>280</v>
      </c>
      <c r="K20" s="6">
        <v>280</v>
      </c>
      <c r="L20" s="6">
        <v>0</v>
      </c>
      <c r="M20" s="6">
        <v>0</v>
      </c>
      <c r="N20" s="6">
        <v>0</v>
      </c>
      <c r="O20" s="6">
        <v>0</v>
      </c>
      <c r="P20" s="6">
        <v>2</v>
      </c>
      <c r="Q20" s="4" t="s">
        <v>26</v>
      </c>
      <c r="R20" s="4">
        <v>0</v>
      </c>
      <c r="S20" s="6">
        <v>3</v>
      </c>
      <c r="T20" s="6">
        <v>0</v>
      </c>
      <c r="U20" s="6">
        <v>0</v>
      </c>
      <c r="V20" s="6">
        <f>IF(ISERROR(VLOOKUP($S$20,'TAR FIN'!$A$1:$O$86,15,0)),0,VLOOKUP($S$20,'TAR FIN'!$A$1:$O$86,15,0))</f>
        <v>31.06</v>
      </c>
      <c r="W20" s="6">
        <f>IF(ISERROR(VLOOKUP($T$20,'TAR FIN'!$A$1:$O$86,15,0)),0,VLOOKUP($T$20,'TAR FIN'!$A$1:$O$86,15,0))</f>
        <v>0</v>
      </c>
      <c r="X20" s="6">
        <f>IF(ISERROR(VLOOKUP($U$20,'TAR FIN'!$A$1:$O$86,15,0)),0,VLOOKUP($U$20,'TAR FIN'!$A$1:$O$86,15,0))</f>
        <v>0</v>
      </c>
      <c r="Y20" s="6">
        <f ca="1">('TUSD BE'!$AM$10+'TUSD BF'!$AM$10+'TUSD CVA'!$AM$10)*1</f>
        <v>37.6958879256484</v>
      </c>
      <c r="Z20" s="6"/>
      <c r="AA20" s="6"/>
      <c r="AB20" s="6">
        <f>$K$20*$V$20</f>
        <v>8696.7999999999993</v>
      </c>
      <c r="AC20" s="6">
        <f>$M$20*$W$20</f>
        <v>0</v>
      </c>
      <c r="AD20" s="6">
        <f>$O$20*$X$20</f>
        <v>0</v>
      </c>
      <c r="AE20" s="6">
        <f ca="1">$K$20*$Y$20</f>
        <v>10554.848619181552</v>
      </c>
      <c r="AF20" s="6">
        <f>$M$20*$Z$20</f>
        <v>0</v>
      </c>
      <c r="AG20" s="6">
        <f>$O$20*$AA$20</f>
        <v>0</v>
      </c>
    </row>
    <row r="21" spans="1:47" ht="11.25" customHeight="1" x14ac:dyDescent="0.25">
      <c r="A21" s="4" t="s">
        <v>21</v>
      </c>
      <c r="B21" s="4" t="s">
        <v>39</v>
      </c>
      <c r="C21" s="4" t="s">
        <v>40</v>
      </c>
      <c r="D21" s="4" t="s">
        <v>38</v>
      </c>
      <c r="E21" s="4" t="s">
        <v>25</v>
      </c>
      <c r="F21" s="4" t="s">
        <v>25</v>
      </c>
      <c r="G21" s="4" t="s">
        <v>25</v>
      </c>
      <c r="H21" s="4" t="s">
        <v>25</v>
      </c>
      <c r="I21" s="5">
        <v>44593</v>
      </c>
      <c r="J21" s="6">
        <v>280</v>
      </c>
      <c r="K21" s="6">
        <v>280</v>
      </c>
      <c r="L21" s="6">
        <v>0</v>
      </c>
      <c r="M21" s="6">
        <v>0</v>
      </c>
      <c r="N21" s="6">
        <v>0</v>
      </c>
      <c r="O21" s="6">
        <v>0</v>
      </c>
      <c r="P21" s="6">
        <v>2</v>
      </c>
      <c r="Q21" s="4" t="s">
        <v>26</v>
      </c>
      <c r="R21" s="4">
        <v>0</v>
      </c>
      <c r="S21" s="6">
        <v>3</v>
      </c>
      <c r="T21" s="6">
        <v>0</v>
      </c>
      <c r="U21" s="6">
        <v>0</v>
      </c>
      <c r="V21" s="6">
        <f>IF(ISERROR(VLOOKUP($S$21,'TAR FIN'!$A$1:$O$86,15,0)),0,VLOOKUP($S$21,'TAR FIN'!$A$1:$O$86,15,0))</f>
        <v>31.06</v>
      </c>
      <c r="W21" s="6">
        <f>IF(ISERROR(VLOOKUP($T$21,'TAR FIN'!$A$1:$O$86,15,0)),0,VLOOKUP($T$21,'TAR FIN'!$A$1:$O$86,15,0))</f>
        <v>0</v>
      </c>
      <c r="X21" s="6">
        <f>IF(ISERROR(VLOOKUP($U$21,'TAR FIN'!$A$1:$O$86,15,0)),0,VLOOKUP($U$21,'TAR FIN'!$A$1:$O$86,15,0))</f>
        <v>0</v>
      </c>
      <c r="Y21" s="6">
        <f ca="1">('TUSD BE'!$AM$10+'TUSD BF'!$AM$10+'TUSD CVA'!$AM$10)*1</f>
        <v>37.6958879256484</v>
      </c>
      <c r="Z21" s="6"/>
      <c r="AA21" s="6"/>
      <c r="AB21" s="6">
        <f>$K$21*$V$21</f>
        <v>8696.7999999999993</v>
      </c>
      <c r="AC21" s="6">
        <f>$M$21*$W$21</f>
        <v>0</v>
      </c>
      <c r="AD21" s="6">
        <f>$O$21*$X$21</f>
        <v>0</v>
      </c>
      <c r="AE21" s="6">
        <f ca="1">$K$21*$Y$21</f>
        <v>10554.848619181552</v>
      </c>
      <c r="AF21" s="6">
        <f>$M$21*$Z$21</f>
        <v>0</v>
      </c>
      <c r="AG21" s="6">
        <f>$O$21*$AA$21</f>
        <v>0</v>
      </c>
    </row>
    <row r="22" spans="1:47" ht="11.25" customHeight="1" x14ac:dyDescent="0.25">
      <c r="A22" s="4" t="s">
        <v>21</v>
      </c>
      <c r="B22" s="4" t="s">
        <v>39</v>
      </c>
      <c r="C22" s="4" t="s">
        <v>40</v>
      </c>
      <c r="D22" s="4" t="s">
        <v>38</v>
      </c>
      <c r="E22" s="4" t="s">
        <v>25</v>
      </c>
      <c r="F22" s="4" t="s">
        <v>25</v>
      </c>
      <c r="G22" s="4" t="s">
        <v>25</v>
      </c>
      <c r="H22" s="4" t="s">
        <v>25</v>
      </c>
      <c r="I22" s="5">
        <v>44621</v>
      </c>
      <c r="J22" s="6">
        <v>192</v>
      </c>
      <c r="K22" s="6">
        <v>192</v>
      </c>
      <c r="L22" s="6">
        <v>0</v>
      </c>
      <c r="M22" s="6">
        <v>0</v>
      </c>
      <c r="N22" s="6">
        <v>0</v>
      </c>
      <c r="O22" s="6">
        <v>0</v>
      </c>
      <c r="P22" s="6">
        <v>2</v>
      </c>
      <c r="Q22" s="4" t="s">
        <v>26</v>
      </c>
      <c r="R22" s="4">
        <v>0</v>
      </c>
      <c r="S22" s="6">
        <v>3</v>
      </c>
      <c r="T22" s="6">
        <v>0</v>
      </c>
      <c r="U22" s="6">
        <v>0</v>
      </c>
      <c r="V22" s="6">
        <f>IF(ISERROR(VLOOKUP($S$22,'TAR FIN'!$A$1:$O$86,15,0)),0,VLOOKUP($S$22,'TAR FIN'!$A$1:$O$86,15,0))</f>
        <v>31.06</v>
      </c>
      <c r="W22" s="6">
        <f>IF(ISERROR(VLOOKUP($T$22,'TAR FIN'!$A$1:$O$86,15,0)),0,VLOOKUP($T$22,'TAR FIN'!$A$1:$O$86,15,0))</f>
        <v>0</v>
      </c>
      <c r="X22" s="6">
        <f>IF(ISERROR(VLOOKUP($U$22,'TAR FIN'!$A$1:$O$86,15,0)),0,VLOOKUP($U$22,'TAR FIN'!$A$1:$O$86,15,0))</f>
        <v>0</v>
      </c>
      <c r="Y22" s="6">
        <f ca="1">('TUSD BE'!$AM$10+'TUSD BF'!$AM$10+'TUSD CVA'!$AM$10)*1</f>
        <v>37.6958879256484</v>
      </c>
      <c r="Z22" s="6"/>
      <c r="AA22" s="6"/>
      <c r="AB22" s="6">
        <f>$K$22*$V$22</f>
        <v>5963.5199999999995</v>
      </c>
      <c r="AC22" s="6">
        <f>$M$22*$W$22</f>
        <v>0</v>
      </c>
      <c r="AD22" s="6">
        <f>$O$22*$X$22</f>
        <v>0</v>
      </c>
      <c r="AE22" s="6">
        <f ca="1">$K$22*$Y$22</f>
        <v>7237.6104817244923</v>
      </c>
      <c r="AF22" s="6">
        <f>$M$22*$Z$22</f>
        <v>0</v>
      </c>
      <c r="AG22" s="6">
        <f>$O$22*$AA$22</f>
        <v>0</v>
      </c>
    </row>
    <row r="23" spans="1:47" ht="11.25" customHeight="1" x14ac:dyDescent="0.25">
      <c r="A23" s="4" t="s">
        <v>21</v>
      </c>
      <c r="B23" s="4" t="s">
        <v>39</v>
      </c>
      <c r="C23" s="4" t="s">
        <v>40</v>
      </c>
      <c r="D23" s="4" t="s">
        <v>38</v>
      </c>
      <c r="E23" s="4" t="s">
        <v>25</v>
      </c>
      <c r="F23" s="4" t="s">
        <v>25</v>
      </c>
      <c r="G23" s="4" t="s">
        <v>25</v>
      </c>
      <c r="H23" s="4" t="s">
        <v>25</v>
      </c>
      <c r="I23" s="5">
        <v>44652</v>
      </c>
      <c r="J23" s="6">
        <v>195</v>
      </c>
      <c r="K23" s="6">
        <v>195</v>
      </c>
      <c r="L23" s="6">
        <v>0</v>
      </c>
      <c r="M23" s="6">
        <v>0</v>
      </c>
      <c r="N23" s="6">
        <v>0</v>
      </c>
      <c r="O23" s="6">
        <v>0</v>
      </c>
      <c r="P23" s="6">
        <v>2</v>
      </c>
      <c r="Q23" s="4" t="s">
        <v>26</v>
      </c>
      <c r="R23" s="4">
        <v>0</v>
      </c>
      <c r="S23" s="6">
        <v>3</v>
      </c>
      <c r="T23" s="6">
        <v>0</v>
      </c>
      <c r="U23" s="6">
        <v>0</v>
      </c>
      <c r="V23" s="6">
        <f>IF(ISERROR(VLOOKUP($S$23,'TAR FIN'!$A$1:$O$86,15,0)),0,VLOOKUP($S$23,'TAR FIN'!$A$1:$O$86,15,0))</f>
        <v>31.06</v>
      </c>
      <c r="W23" s="6">
        <f>IF(ISERROR(VLOOKUP($T$23,'TAR FIN'!$A$1:$O$86,15,0)),0,VLOOKUP($T$23,'TAR FIN'!$A$1:$O$86,15,0))</f>
        <v>0</v>
      </c>
      <c r="X23" s="6">
        <f>IF(ISERROR(VLOOKUP($U$23,'TAR FIN'!$A$1:$O$86,15,0)),0,VLOOKUP($U$23,'TAR FIN'!$A$1:$O$86,15,0))</f>
        <v>0</v>
      </c>
      <c r="Y23" s="6">
        <f ca="1">('TUSD BE'!$AM$10+'TUSD BF'!$AM$10+'TUSD CVA'!$AM$10)*1</f>
        <v>37.6958879256484</v>
      </c>
      <c r="Z23" s="6"/>
      <c r="AA23" s="6"/>
      <c r="AB23" s="6">
        <f>$K$23*$V$23</f>
        <v>6056.7</v>
      </c>
      <c r="AC23" s="6">
        <f>$M$23*$W$23</f>
        <v>0</v>
      </c>
      <c r="AD23" s="6">
        <f>$O$23*$X$23</f>
        <v>0</v>
      </c>
      <c r="AE23" s="6">
        <f ca="1">$K$23*$Y$23</f>
        <v>7350.6981455014384</v>
      </c>
      <c r="AF23" s="6">
        <f>$M$23*$Z$23</f>
        <v>0</v>
      </c>
      <c r="AG23" s="6">
        <f>$O$23*$AA$23</f>
        <v>0</v>
      </c>
    </row>
    <row r="24" spans="1:47" ht="11.25" customHeight="1" x14ac:dyDescent="0.25">
      <c r="A24" s="4" t="s">
        <v>21</v>
      </c>
      <c r="B24" s="4" t="s">
        <v>39</v>
      </c>
      <c r="C24" s="4" t="s">
        <v>40</v>
      </c>
      <c r="D24" s="4" t="s">
        <v>38</v>
      </c>
      <c r="E24" s="4" t="s">
        <v>25</v>
      </c>
      <c r="F24" s="4" t="s">
        <v>25</v>
      </c>
      <c r="G24" s="4" t="s">
        <v>25</v>
      </c>
      <c r="H24" s="4" t="s">
        <v>25</v>
      </c>
      <c r="I24" s="5">
        <v>44682</v>
      </c>
      <c r="J24" s="6">
        <v>190</v>
      </c>
      <c r="K24" s="6">
        <v>190</v>
      </c>
      <c r="L24" s="6">
        <v>0</v>
      </c>
      <c r="M24" s="6">
        <v>0</v>
      </c>
      <c r="N24" s="6">
        <v>0</v>
      </c>
      <c r="O24" s="6">
        <v>0</v>
      </c>
      <c r="P24" s="6">
        <v>2</v>
      </c>
      <c r="Q24" s="4" t="s">
        <v>26</v>
      </c>
      <c r="R24" s="4">
        <v>0</v>
      </c>
      <c r="S24" s="6">
        <v>3</v>
      </c>
      <c r="T24" s="6">
        <v>0</v>
      </c>
      <c r="U24" s="6">
        <v>0</v>
      </c>
      <c r="V24" s="6">
        <f>IF(ISERROR(VLOOKUP($S$24,'TAR FIN'!$A$1:$O$86,15,0)),0,VLOOKUP($S$24,'TAR FIN'!$A$1:$O$86,15,0))</f>
        <v>31.06</v>
      </c>
      <c r="W24" s="6">
        <f>IF(ISERROR(VLOOKUP($T$24,'TAR FIN'!$A$1:$O$86,15,0)),0,VLOOKUP($T$24,'TAR FIN'!$A$1:$O$86,15,0))</f>
        <v>0</v>
      </c>
      <c r="X24" s="6">
        <f>IF(ISERROR(VLOOKUP($U$24,'TAR FIN'!$A$1:$O$86,15,0)),0,VLOOKUP($U$24,'TAR FIN'!$A$1:$O$86,15,0))</f>
        <v>0</v>
      </c>
      <c r="Y24" s="6">
        <f ca="1">('TUSD BE'!$AM$10+'TUSD BF'!$AM$10+'TUSD CVA'!$AM$10)*1</f>
        <v>37.6958879256484</v>
      </c>
      <c r="Z24" s="6"/>
      <c r="AA24" s="6"/>
      <c r="AB24" s="6">
        <f>$K$24*$V$24</f>
        <v>5901.4</v>
      </c>
      <c r="AC24" s="6">
        <f>$M$24*$W$24</f>
        <v>0</v>
      </c>
      <c r="AD24" s="6">
        <f>$O$24*$X$24</f>
        <v>0</v>
      </c>
      <c r="AE24" s="6">
        <f ca="1">$K$24*$Y$24</f>
        <v>7162.2187058731961</v>
      </c>
      <c r="AF24" s="6">
        <f>$M$24*$Z$24</f>
        <v>0</v>
      </c>
      <c r="AG24" s="6">
        <f>$O$24*$AA$24</f>
        <v>0</v>
      </c>
    </row>
    <row r="25" spans="1:47" ht="11.25" customHeight="1" x14ac:dyDescent="0.25">
      <c r="A25" s="4" t="s">
        <v>21</v>
      </c>
      <c r="B25" s="4" t="s">
        <v>39</v>
      </c>
      <c r="C25" s="4" t="s">
        <v>40</v>
      </c>
      <c r="D25" s="4" t="s">
        <v>38</v>
      </c>
      <c r="E25" s="4" t="s">
        <v>25</v>
      </c>
      <c r="F25" s="4" t="s">
        <v>25</v>
      </c>
      <c r="G25" s="4" t="s">
        <v>25</v>
      </c>
      <c r="H25" s="4" t="s">
        <v>25</v>
      </c>
      <c r="I25" s="5">
        <v>44713</v>
      </c>
      <c r="J25" s="6">
        <v>193</v>
      </c>
      <c r="K25" s="6">
        <v>193</v>
      </c>
      <c r="L25" s="6">
        <v>0</v>
      </c>
      <c r="M25" s="6">
        <v>0</v>
      </c>
      <c r="N25" s="6">
        <v>0</v>
      </c>
      <c r="O25" s="6">
        <v>0</v>
      </c>
      <c r="P25" s="6">
        <v>2</v>
      </c>
      <c r="Q25" s="4" t="s">
        <v>26</v>
      </c>
      <c r="R25" s="4">
        <v>0</v>
      </c>
      <c r="S25" s="6">
        <v>3</v>
      </c>
      <c r="T25" s="6">
        <v>0</v>
      </c>
      <c r="U25" s="6">
        <v>0</v>
      </c>
      <c r="V25" s="6">
        <f>IF(ISERROR(VLOOKUP($S$25,'TAR FIN'!$A$1:$O$86,15,0)),0,VLOOKUP($S$25,'TAR FIN'!$A$1:$O$86,15,0))</f>
        <v>31.06</v>
      </c>
      <c r="W25" s="6">
        <f>IF(ISERROR(VLOOKUP($T$25,'TAR FIN'!$A$1:$O$86,15,0)),0,VLOOKUP($T$25,'TAR FIN'!$A$1:$O$86,15,0))</f>
        <v>0</v>
      </c>
      <c r="X25" s="6">
        <f>IF(ISERROR(VLOOKUP($U$25,'TAR FIN'!$A$1:$O$86,15,0)),0,VLOOKUP($U$25,'TAR FIN'!$A$1:$O$86,15,0))</f>
        <v>0</v>
      </c>
      <c r="Y25" s="6">
        <f ca="1">('TUSD BE'!$AM$10+'TUSD BF'!$AM$10+'TUSD CVA'!$AM$10)*1</f>
        <v>37.6958879256484</v>
      </c>
      <c r="Z25" s="6"/>
      <c r="AA25" s="6"/>
      <c r="AB25" s="6">
        <f>$K$25*$V$25</f>
        <v>5994.58</v>
      </c>
      <c r="AC25" s="6">
        <f>$M$25*$W$25</f>
        <v>0</v>
      </c>
      <c r="AD25" s="6">
        <f>$O$25*$X$25</f>
        <v>0</v>
      </c>
      <c r="AE25" s="6">
        <f ca="1">$K$25*$Y$25</f>
        <v>7275.3063696501413</v>
      </c>
      <c r="AF25" s="6">
        <f>$M$25*$Z$25</f>
        <v>0</v>
      </c>
      <c r="AG25" s="6">
        <f>$O$25*$AA$25</f>
        <v>0</v>
      </c>
    </row>
    <row r="26" spans="1:47" ht="11.25" customHeight="1" x14ac:dyDescent="0.25">
      <c r="A26" s="4" t="s">
        <v>21</v>
      </c>
      <c r="B26" s="4" t="s">
        <v>39</v>
      </c>
      <c r="C26" s="4" t="s">
        <v>40</v>
      </c>
      <c r="D26" s="4" t="s">
        <v>38</v>
      </c>
      <c r="E26" s="4" t="s">
        <v>25</v>
      </c>
      <c r="F26" s="4" t="s">
        <v>25</v>
      </c>
      <c r="G26" s="4" t="s">
        <v>25</v>
      </c>
      <c r="H26" s="4" t="s">
        <v>34</v>
      </c>
      <c r="I26" s="5">
        <v>44378</v>
      </c>
      <c r="J26" s="6">
        <v>0</v>
      </c>
      <c r="K26" s="6">
        <v>0</v>
      </c>
      <c r="L26" s="6">
        <v>1.4350000000000001</v>
      </c>
      <c r="M26" s="6">
        <v>1.4350000000000001</v>
      </c>
      <c r="N26" s="6">
        <v>1.4350000000000001</v>
      </c>
      <c r="O26" s="6">
        <v>1.4350000000000001</v>
      </c>
      <c r="P26" s="6">
        <v>0</v>
      </c>
      <c r="Q26" s="4" t="s">
        <v>26</v>
      </c>
      <c r="R26" s="4">
        <v>0</v>
      </c>
      <c r="S26" s="6">
        <v>0</v>
      </c>
      <c r="T26" s="6">
        <v>23</v>
      </c>
      <c r="U26" s="6">
        <v>41</v>
      </c>
      <c r="V26" s="6">
        <f>IF(ISERROR(VLOOKUP($S$26,'TAR FIN'!$A$1:$O$86,15,0)),0,VLOOKUP($S$26,'TAR FIN'!$A$1:$O$86,15,0))</f>
        <v>0</v>
      </c>
      <c r="W26" s="6">
        <f>IF(ISERROR(VLOOKUP($T$26,'TAR FIN'!$A$1:$O$86,15,0)),0,VLOOKUP($T$26,'TAR FIN'!$A$1:$O$86,15,0))</f>
        <v>1634.54</v>
      </c>
      <c r="X26" s="6">
        <f>IF(ISERROR(VLOOKUP($U$26,'TAR FIN'!$A$1:$O$86,15,0)),0,VLOOKUP($U$26,'TAR FIN'!$A$1:$O$86,15,0))</f>
        <v>131.87</v>
      </c>
      <c r="Y26" s="6"/>
      <c r="Z26" s="6">
        <f ca="1">('TUSD BE'!$AM$11+'TUSD BF'!$AM$11+'TUSD CVA'!$AM$11)*1</f>
        <v>1992.4981055215353</v>
      </c>
      <c r="AA26" s="6">
        <f>('TE BE'!$AB$5+'TE BF'!$AB$5+'TE CVA'!$AB$5)*1</f>
        <v>116.42847759142431</v>
      </c>
      <c r="AB26" s="6">
        <f>$K$26*$V$26</f>
        <v>0</v>
      </c>
      <c r="AC26" s="6">
        <f>$M$26*$W$26</f>
        <v>2345.5648999999999</v>
      </c>
      <c r="AD26" s="6">
        <f>$O$26*$X$26</f>
        <v>189.23345</v>
      </c>
      <c r="AE26" s="6">
        <f>$K$26*$Y$26</f>
        <v>0</v>
      </c>
      <c r="AF26" s="6">
        <f ca="1">$M$26*$Z$26</f>
        <v>2859.2347814234031</v>
      </c>
      <c r="AG26" s="6">
        <f>$O$26*$AA$26</f>
        <v>167.07486534369389</v>
      </c>
    </row>
    <row r="27" spans="1:47" ht="11.25" customHeight="1" x14ac:dyDescent="0.25">
      <c r="A27" s="4" t="s">
        <v>21</v>
      </c>
      <c r="B27" s="4" t="s">
        <v>39</v>
      </c>
      <c r="C27" s="4" t="s">
        <v>40</v>
      </c>
      <c r="D27" s="4" t="s">
        <v>38</v>
      </c>
      <c r="E27" s="4" t="s">
        <v>25</v>
      </c>
      <c r="F27" s="4" t="s">
        <v>25</v>
      </c>
      <c r="G27" s="4" t="s">
        <v>25</v>
      </c>
      <c r="H27" s="4" t="s">
        <v>34</v>
      </c>
      <c r="I27" s="5">
        <v>44409</v>
      </c>
      <c r="J27" s="6">
        <v>0</v>
      </c>
      <c r="K27" s="6">
        <v>0</v>
      </c>
      <c r="L27" s="6">
        <v>2.7229999999999999</v>
      </c>
      <c r="M27" s="6">
        <v>2.7229999999999999</v>
      </c>
      <c r="N27" s="6">
        <v>2.7229999999999999</v>
      </c>
      <c r="O27" s="6">
        <v>2.7229999999999999</v>
      </c>
      <c r="P27" s="6">
        <v>0</v>
      </c>
      <c r="Q27" s="4" t="s">
        <v>26</v>
      </c>
      <c r="R27" s="4">
        <v>0</v>
      </c>
      <c r="S27" s="6">
        <v>0</v>
      </c>
      <c r="T27" s="6">
        <v>23</v>
      </c>
      <c r="U27" s="6">
        <v>41</v>
      </c>
      <c r="V27" s="6">
        <f>IF(ISERROR(VLOOKUP($S$27,'TAR FIN'!$A$1:$O$86,15,0)),0,VLOOKUP($S$27,'TAR FIN'!$A$1:$O$86,15,0))</f>
        <v>0</v>
      </c>
      <c r="W27" s="6">
        <f>IF(ISERROR(VLOOKUP($T$27,'TAR FIN'!$A$1:$O$86,15,0)),0,VLOOKUP($T$27,'TAR FIN'!$A$1:$O$86,15,0))</f>
        <v>1634.54</v>
      </c>
      <c r="X27" s="6">
        <f>IF(ISERROR(VLOOKUP($U$27,'TAR FIN'!$A$1:$O$86,15,0)),0,VLOOKUP($U$27,'TAR FIN'!$A$1:$O$86,15,0))</f>
        <v>131.87</v>
      </c>
      <c r="Y27" s="6"/>
      <c r="Z27" s="6">
        <f ca="1">('TUSD BE'!$AM$11+'TUSD BF'!$AM$11+'TUSD CVA'!$AM$11)*1</f>
        <v>1992.4981055215353</v>
      </c>
      <c r="AA27" s="6">
        <f>('TE BE'!$AB$5+'TE BF'!$AB$5+'TE CVA'!$AB$5)*1</f>
        <v>116.42847759142431</v>
      </c>
      <c r="AB27" s="6">
        <f>$K$27*$V$27</f>
        <v>0</v>
      </c>
      <c r="AC27" s="6">
        <f>$M$27*$W$27</f>
        <v>4450.8524199999993</v>
      </c>
      <c r="AD27" s="6">
        <f>$O$27*$X$27</f>
        <v>359.08200999999997</v>
      </c>
      <c r="AE27" s="6">
        <f>$K$27*$Y$27</f>
        <v>0</v>
      </c>
      <c r="AF27" s="6">
        <f ca="1">$M$27*$Z$27</f>
        <v>5425.5723413351407</v>
      </c>
      <c r="AG27" s="6">
        <f>$O$27*$AA$27</f>
        <v>317.0347444814484</v>
      </c>
    </row>
    <row r="28" spans="1:47" ht="11.25" customHeight="1" x14ac:dyDescent="0.25">
      <c r="A28" s="4" t="s">
        <v>21</v>
      </c>
      <c r="B28" s="4" t="s">
        <v>39</v>
      </c>
      <c r="C28" s="4" t="s">
        <v>40</v>
      </c>
      <c r="D28" s="4" t="s">
        <v>38</v>
      </c>
      <c r="E28" s="4" t="s">
        <v>25</v>
      </c>
      <c r="F28" s="4" t="s">
        <v>25</v>
      </c>
      <c r="G28" s="4" t="s">
        <v>25</v>
      </c>
      <c r="H28" s="4" t="s">
        <v>34</v>
      </c>
      <c r="I28" s="5">
        <v>44440</v>
      </c>
      <c r="J28" s="6">
        <v>0</v>
      </c>
      <c r="K28" s="6">
        <v>0</v>
      </c>
      <c r="L28" s="6">
        <v>4.6050000000000004</v>
      </c>
      <c r="M28" s="6">
        <v>4.6050000000000004</v>
      </c>
      <c r="N28" s="6">
        <v>4.6050000000000004</v>
      </c>
      <c r="O28" s="6">
        <v>4.6050000000000004</v>
      </c>
      <c r="P28" s="6">
        <v>0</v>
      </c>
      <c r="Q28" s="4" t="s">
        <v>26</v>
      </c>
      <c r="R28" s="4">
        <v>0</v>
      </c>
      <c r="S28" s="6">
        <v>0</v>
      </c>
      <c r="T28" s="6">
        <v>23</v>
      </c>
      <c r="U28" s="6">
        <v>41</v>
      </c>
      <c r="V28" s="6">
        <f>IF(ISERROR(VLOOKUP($S$28,'TAR FIN'!$A$1:$O$86,15,0)),0,VLOOKUP($S$28,'TAR FIN'!$A$1:$O$86,15,0))</f>
        <v>0</v>
      </c>
      <c r="W28" s="6">
        <f>IF(ISERROR(VLOOKUP($T$28,'TAR FIN'!$A$1:$O$86,15,0)),0,VLOOKUP($T$28,'TAR FIN'!$A$1:$O$86,15,0))</f>
        <v>1634.54</v>
      </c>
      <c r="X28" s="6">
        <f>IF(ISERROR(VLOOKUP($U$28,'TAR FIN'!$A$1:$O$86,15,0)),0,VLOOKUP($U$28,'TAR FIN'!$A$1:$O$86,15,0))</f>
        <v>131.87</v>
      </c>
      <c r="Y28" s="6"/>
      <c r="Z28" s="6">
        <f ca="1">('TUSD BE'!$AM$11+'TUSD BF'!$AM$11+'TUSD CVA'!$AM$11)*1</f>
        <v>1992.4981055215353</v>
      </c>
      <c r="AA28" s="6">
        <f>('TE BE'!$AB$5+'TE BF'!$AB$5+'TE CVA'!$AB$5)*1</f>
        <v>116.42847759142431</v>
      </c>
      <c r="AB28" s="6">
        <f>$K$28*$V$28</f>
        <v>0</v>
      </c>
      <c r="AC28" s="6">
        <f>$M$28*$W$28</f>
        <v>7527.0567000000001</v>
      </c>
      <c r="AD28" s="6">
        <f>$O$28*$X$28</f>
        <v>607.26135000000011</v>
      </c>
      <c r="AE28" s="6">
        <f>$K$28*$Y$28</f>
        <v>0</v>
      </c>
      <c r="AF28" s="6">
        <f ca="1">$M$28*$Z$28</f>
        <v>9175.4537759266714</v>
      </c>
      <c r="AG28" s="6">
        <f>$O$28*$AA$28</f>
        <v>536.15313930850903</v>
      </c>
    </row>
    <row r="29" spans="1:47" ht="11.25" customHeight="1" x14ac:dyDescent="0.25">
      <c r="A29" s="4" t="s">
        <v>21</v>
      </c>
      <c r="B29" s="4" t="s">
        <v>39</v>
      </c>
      <c r="C29" s="4" t="s">
        <v>40</v>
      </c>
      <c r="D29" s="4" t="s">
        <v>38</v>
      </c>
      <c r="E29" s="4" t="s">
        <v>25</v>
      </c>
      <c r="F29" s="4" t="s">
        <v>25</v>
      </c>
      <c r="G29" s="4" t="s">
        <v>25</v>
      </c>
      <c r="H29" s="4" t="s">
        <v>34</v>
      </c>
      <c r="I29" s="5">
        <v>44470</v>
      </c>
      <c r="J29" s="6">
        <v>0</v>
      </c>
      <c r="K29" s="6">
        <v>0</v>
      </c>
      <c r="L29" s="6">
        <v>0.67</v>
      </c>
      <c r="M29" s="6">
        <v>0.67</v>
      </c>
      <c r="N29" s="6">
        <v>0.67</v>
      </c>
      <c r="O29" s="6">
        <v>0.67</v>
      </c>
      <c r="P29" s="6">
        <v>0</v>
      </c>
      <c r="Q29" s="4" t="s">
        <v>26</v>
      </c>
      <c r="R29" s="4">
        <v>0</v>
      </c>
      <c r="S29" s="6">
        <v>0</v>
      </c>
      <c r="T29" s="6">
        <v>23</v>
      </c>
      <c r="U29" s="6">
        <v>41</v>
      </c>
      <c r="V29" s="6">
        <f>IF(ISERROR(VLOOKUP($S$29,'TAR FIN'!$A$1:$O$86,15,0)),0,VLOOKUP($S$29,'TAR FIN'!$A$1:$O$86,15,0))</f>
        <v>0</v>
      </c>
      <c r="W29" s="6">
        <f>IF(ISERROR(VLOOKUP($T$29,'TAR FIN'!$A$1:$O$86,15,0)),0,VLOOKUP($T$29,'TAR FIN'!$A$1:$O$86,15,0))</f>
        <v>1634.54</v>
      </c>
      <c r="X29" s="6">
        <f>IF(ISERROR(VLOOKUP($U$29,'TAR FIN'!$A$1:$O$86,15,0)),0,VLOOKUP($U$29,'TAR FIN'!$A$1:$O$86,15,0))</f>
        <v>131.87</v>
      </c>
      <c r="Y29" s="6"/>
      <c r="Z29" s="6">
        <f ca="1">('TUSD BE'!$AM$11+'TUSD BF'!$AM$11+'TUSD CVA'!$AM$11)*1</f>
        <v>1992.4981055215353</v>
      </c>
      <c r="AA29" s="6">
        <f>('TE BE'!$AB$5+'TE BF'!$AB$5+'TE CVA'!$AB$5)*1</f>
        <v>116.42847759142431</v>
      </c>
      <c r="AB29" s="6">
        <f>$K$29*$V$29</f>
        <v>0</v>
      </c>
      <c r="AC29" s="6">
        <f>$M$29*$W$29</f>
        <v>1095.1418000000001</v>
      </c>
      <c r="AD29" s="6">
        <f>$O$29*$X$29</f>
        <v>88.352900000000005</v>
      </c>
      <c r="AE29" s="6">
        <f>$K$29*$Y$29</f>
        <v>0</v>
      </c>
      <c r="AF29" s="6">
        <f ca="1">$M$29*$Z$29</f>
        <v>1334.9737306994286</v>
      </c>
      <c r="AG29" s="6">
        <f>$O$29*$AA$29</f>
        <v>78.007079986254297</v>
      </c>
    </row>
    <row r="30" spans="1:47" ht="11.25" customHeight="1" x14ac:dyDescent="0.25">
      <c r="A30" s="4" t="s">
        <v>21</v>
      </c>
      <c r="B30" s="4" t="s">
        <v>39</v>
      </c>
      <c r="C30" s="4" t="s">
        <v>40</v>
      </c>
      <c r="D30" s="4" t="s">
        <v>38</v>
      </c>
      <c r="E30" s="4" t="s">
        <v>25</v>
      </c>
      <c r="F30" s="4" t="s">
        <v>25</v>
      </c>
      <c r="G30" s="4" t="s">
        <v>25</v>
      </c>
      <c r="H30" s="4" t="s">
        <v>34</v>
      </c>
      <c r="I30" s="5">
        <v>44501</v>
      </c>
      <c r="J30" s="6">
        <v>0</v>
      </c>
      <c r="K30" s="6">
        <v>0</v>
      </c>
      <c r="L30" s="6">
        <v>1.0609999999999999</v>
      </c>
      <c r="M30" s="6">
        <v>1.0609999999999999</v>
      </c>
      <c r="N30" s="6">
        <v>1.0609999999999999</v>
      </c>
      <c r="O30" s="6">
        <v>1.0609999999999999</v>
      </c>
      <c r="P30" s="6">
        <v>0</v>
      </c>
      <c r="Q30" s="4" t="s">
        <v>26</v>
      </c>
      <c r="R30" s="4">
        <v>0</v>
      </c>
      <c r="S30" s="6">
        <v>0</v>
      </c>
      <c r="T30" s="6">
        <v>23</v>
      </c>
      <c r="U30" s="6">
        <v>41</v>
      </c>
      <c r="V30" s="6">
        <f>IF(ISERROR(VLOOKUP($S$30,'TAR FIN'!$A$1:$O$86,15,0)),0,VLOOKUP($S$30,'TAR FIN'!$A$1:$O$86,15,0))</f>
        <v>0</v>
      </c>
      <c r="W30" s="6">
        <f>IF(ISERROR(VLOOKUP($T$30,'TAR FIN'!$A$1:$O$86,15,0)),0,VLOOKUP($T$30,'TAR FIN'!$A$1:$O$86,15,0))</f>
        <v>1634.54</v>
      </c>
      <c r="X30" s="6">
        <f>IF(ISERROR(VLOOKUP($U$30,'TAR FIN'!$A$1:$O$86,15,0)),0,VLOOKUP($U$30,'TAR FIN'!$A$1:$O$86,15,0))</f>
        <v>131.87</v>
      </c>
      <c r="Y30" s="6"/>
      <c r="Z30" s="6">
        <f ca="1">('TUSD BE'!$AM$11+'TUSD BF'!$AM$11+'TUSD CVA'!$AM$11)*1</f>
        <v>1992.4981055215353</v>
      </c>
      <c r="AA30" s="6">
        <f>('TE BE'!$AB$5+'TE BF'!$AB$5+'TE CVA'!$AB$5)*1</f>
        <v>116.42847759142431</v>
      </c>
      <c r="AB30" s="6">
        <f>$K$30*$V$30</f>
        <v>0</v>
      </c>
      <c r="AC30" s="6">
        <f>$M$30*$W$30</f>
        <v>1734.2469399999998</v>
      </c>
      <c r="AD30" s="6">
        <f>$O$30*$X$30</f>
        <v>139.91407000000001</v>
      </c>
      <c r="AE30" s="6">
        <f>$K$30*$Y$30</f>
        <v>0</v>
      </c>
      <c r="AF30" s="6">
        <f ca="1">$M$30*$Z$30</f>
        <v>2114.0404899583486</v>
      </c>
      <c r="AG30" s="6">
        <f>$O$30*$AA$30</f>
        <v>123.53061472450119</v>
      </c>
    </row>
    <row r="31" spans="1:47" ht="11.25" customHeight="1" x14ac:dyDescent="0.25">
      <c r="A31" s="4" t="s">
        <v>21</v>
      </c>
      <c r="B31" s="4" t="s">
        <v>39</v>
      </c>
      <c r="C31" s="4" t="s">
        <v>40</v>
      </c>
      <c r="D31" s="4" t="s">
        <v>38</v>
      </c>
      <c r="E31" s="4" t="s">
        <v>25</v>
      </c>
      <c r="F31" s="4" t="s">
        <v>25</v>
      </c>
      <c r="G31" s="4" t="s">
        <v>25</v>
      </c>
      <c r="H31" s="4" t="s">
        <v>34</v>
      </c>
      <c r="I31" s="5">
        <v>44531</v>
      </c>
      <c r="J31" s="6">
        <v>0</v>
      </c>
      <c r="K31" s="6">
        <v>0</v>
      </c>
      <c r="L31" s="6">
        <v>1.86</v>
      </c>
      <c r="M31" s="6">
        <v>1.86</v>
      </c>
      <c r="N31" s="6">
        <v>1.86</v>
      </c>
      <c r="O31" s="6">
        <v>1.86</v>
      </c>
      <c r="P31" s="6">
        <v>0</v>
      </c>
      <c r="Q31" s="4" t="s">
        <v>26</v>
      </c>
      <c r="R31" s="4">
        <v>0</v>
      </c>
      <c r="S31" s="6">
        <v>0</v>
      </c>
      <c r="T31" s="6">
        <v>23</v>
      </c>
      <c r="U31" s="6">
        <v>41</v>
      </c>
      <c r="V31" s="6">
        <f>IF(ISERROR(VLOOKUP($S$31,'TAR FIN'!$A$1:$O$86,15,0)),0,VLOOKUP($S$31,'TAR FIN'!$A$1:$O$86,15,0))</f>
        <v>0</v>
      </c>
      <c r="W31" s="6">
        <f>IF(ISERROR(VLOOKUP($T$31,'TAR FIN'!$A$1:$O$86,15,0)),0,VLOOKUP($T$31,'TAR FIN'!$A$1:$O$86,15,0))</f>
        <v>1634.54</v>
      </c>
      <c r="X31" s="6">
        <f>IF(ISERROR(VLOOKUP($U$31,'TAR FIN'!$A$1:$O$86,15,0)),0,VLOOKUP($U$31,'TAR FIN'!$A$1:$O$86,15,0))</f>
        <v>131.87</v>
      </c>
      <c r="Y31" s="6"/>
      <c r="Z31" s="6">
        <f ca="1">('TUSD BE'!$AM$11+'TUSD BF'!$AM$11+'TUSD CVA'!$AM$11)*1</f>
        <v>1992.4981055215353</v>
      </c>
      <c r="AA31" s="6">
        <f>('TE BE'!$AB$5+'TE BF'!$AB$5+'TE CVA'!$AB$5)*1</f>
        <v>116.42847759142431</v>
      </c>
      <c r="AB31" s="6">
        <f>$K$31*$V$31</f>
        <v>0</v>
      </c>
      <c r="AC31" s="6">
        <f>$M$31*$W$31</f>
        <v>3040.2444</v>
      </c>
      <c r="AD31" s="6">
        <f>$O$31*$X$31</f>
        <v>245.27820000000003</v>
      </c>
      <c r="AE31" s="6">
        <f>$K$31*$Y$31</f>
        <v>0</v>
      </c>
      <c r="AF31" s="6">
        <f ca="1">$M$31*$Z$31</f>
        <v>3706.0464762700558</v>
      </c>
      <c r="AG31" s="6">
        <f>$O$31*$AA$31</f>
        <v>216.55696832004924</v>
      </c>
    </row>
    <row r="32" spans="1:47" ht="11.25" customHeight="1" x14ac:dyDescent="0.25">
      <c r="A32" s="4" t="s">
        <v>21</v>
      </c>
      <c r="B32" s="4" t="s">
        <v>39</v>
      </c>
      <c r="C32" s="4" t="s">
        <v>40</v>
      </c>
      <c r="D32" s="4" t="s">
        <v>38</v>
      </c>
      <c r="E32" s="4" t="s">
        <v>25</v>
      </c>
      <c r="F32" s="4" t="s">
        <v>25</v>
      </c>
      <c r="G32" s="4" t="s">
        <v>25</v>
      </c>
      <c r="H32" s="4" t="s">
        <v>34</v>
      </c>
      <c r="I32" s="5">
        <v>44562</v>
      </c>
      <c r="J32" s="6">
        <v>0</v>
      </c>
      <c r="K32" s="6">
        <v>0</v>
      </c>
      <c r="L32" s="6">
        <v>0.57099999999999995</v>
      </c>
      <c r="M32" s="6">
        <v>0.57099999999999995</v>
      </c>
      <c r="N32" s="6">
        <v>0.57099999999999995</v>
      </c>
      <c r="O32" s="6">
        <v>0.57099999999999995</v>
      </c>
      <c r="P32" s="6">
        <v>0</v>
      </c>
      <c r="Q32" s="4" t="s">
        <v>26</v>
      </c>
      <c r="R32" s="4">
        <v>0</v>
      </c>
      <c r="S32" s="6">
        <v>0</v>
      </c>
      <c r="T32" s="6">
        <v>23</v>
      </c>
      <c r="U32" s="6">
        <v>41</v>
      </c>
      <c r="V32" s="6">
        <f>IF(ISERROR(VLOOKUP($S$32,'TAR FIN'!$A$1:$O$86,15,0)),0,VLOOKUP($S$32,'TAR FIN'!$A$1:$O$86,15,0))</f>
        <v>0</v>
      </c>
      <c r="W32" s="6">
        <f>IF(ISERROR(VLOOKUP($T$32,'TAR FIN'!$A$1:$O$86,15,0)),0,VLOOKUP($T$32,'TAR FIN'!$A$1:$O$86,15,0))</f>
        <v>1634.54</v>
      </c>
      <c r="X32" s="6">
        <f>IF(ISERROR(VLOOKUP($U$32,'TAR FIN'!$A$1:$O$86,15,0)),0,VLOOKUP($U$32,'TAR FIN'!$A$1:$O$86,15,0))</f>
        <v>131.87</v>
      </c>
      <c r="Y32" s="6"/>
      <c r="Z32" s="6">
        <f ca="1">('TUSD BE'!$AM$11+'TUSD BF'!$AM$11+'TUSD CVA'!$AM$11)*1</f>
        <v>1992.4981055215353</v>
      </c>
      <c r="AA32" s="6">
        <f>('TE BE'!$AB$5+'TE BF'!$AB$5+'TE CVA'!$AB$5)*1</f>
        <v>116.42847759142431</v>
      </c>
      <c r="AB32" s="6">
        <f>$K$32*$V$32</f>
        <v>0</v>
      </c>
      <c r="AC32" s="6">
        <f>$M$32*$W$32</f>
        <v>933.32233999999994</v>
      </c>
      <c r="AD32" s="6">
        <f>$O$32*$X$32</f>
        <v>75.29777</v>
      </c>
      <c r="AE32" s="6">
        <f>$K$32*$Y$32</f>
        <v>0</v>
      </c>
      <c r="AF32" s="6">
        <f ca="1">$M$32*$Z$32</f>
        <v>1137.7164182527965</v>
      </c>
      <c r="AG32" s="6">
        <f>$O$32*$AA$32</f>
        <v>66.480660704703283</v>
      </c>
    </row>
    <row r="33" spans="1:33" ht="11.25" customHeight="1" x14ac:dyDescent="0.25">
      <c r="A33" s="4" t="s">
        <v>21</v>
      </c>
      <c r="B33" s="4" t="s">
        <v>39</v>
      </c>
      <c r="C33" s="4" t="s">
        <v>40</v>
      </c>
      <c r="D33" s="4" t="s">
        <v>38</v>
      </c>
      <c r="E33" s="4" t="s">
        <v>25</v>
      </c>
      <c r="F33" s="4" t="s">
        <v>25</v>
      </c>
      <c r="G33" s="4" t="s">
        <v>25</v>
      </c>
      <c r="H33" s="4" t="s">
        <v>34</v>
      </c>
      <c r="I33" s="5">
        <v>44593</v>
      </c>
      <c r="J33" s="6">
        <v>0</v>
      </c>
      <c r="K33" s="6">
        <v>0</v>
      </c>
      <c r="L33" s="6">
        <v>2.359</v>
      </c>
      <c r="M33" s="6">
        <v>2.359</v>
      </c>
      <c r="N33" s="6">
        <v>2.359</v>
      </c>
      <c r="O33" s="6">
        <v>2.359</v>
      </c>
      <c r="P33" s="6">
        <v>0</v>
      </c>
      <c r="Q33" s="4" t="s">
        <v>26</v>
      </c>
      <c r="R33" s="4">
        <v>0</v>
      </c>
      <c r="S33" s="6">
        <v>0</v>
      </c>
      <c r="T33" s="6">
        <v>23</v>
      </c>
      <c r="U33" s="6">
        <v>41</v>
      </c>
      <c r="V33" s="6">
        <f>IF(ISERROR(VLOOKUP($S$33,'TAR FIN'!$A$1:$O$86,15,0)),0,VLOOKUP($S$33,'TAR FIN'!$A$1:$O$86,15,0))</f>
        <v>0</v>
      </c>
      <c r="W33" s="6">
        <f>IF(ISERROR(VLOOKUP($T$33,'TAR FIN'!$A$1:$O$86,15,0)),0,VLOOKUP($T$33,'TAR FIN'!$A$1:$O$86,15,0))</f>
        <v>1634.54</v>
      </c>
      <c r="X33" s="6">
        <f>IF(ISERROR(VLOOKUP($U$33,'TAR FIN'!$A$1:$O$86,15,0)),0,VLOOKUP($U$33,'TAR FIN'!$A$1:$O$86,15,0))</f>
        <v>131.87</v>
      </c>
      <c r="Y33" s="6"/>
      <c r="Z33" s="6">
        <f ca="1">('TUSD BE'!$AM$11+'TUSD BF'!$AM$11+'TUSD CVA'!$AM$11)*1</f>
        <v>1992.4981055215353</v>
      </c>
      <c r="AA33" s="6">
        <f>('TE BE'!$AB$5+'TE BF'!$AB$5+'TE CVA'!$AB$5)*1</f>
        <v>116.42847759142431</v>
      </c>
      <c r="AB33" s="6">
        <f>$K$33*$V$33</f>
        <v>0</v>
      </c>
      <c r="AC33" s="6">
        <f>$M$33*$W$33</f>
        <v>3855.87986</v>
      </c>
      <c r="AD33" s="6">
        <f>$O$33*$X$33</f>
        <v>311.08133000000004</v>
      </c>
      <c r="AE33" s="6">
        <f>$K$33*$Y$33</f>
        <v>0</v>
      </c>
      <c r="AF33" s="6">
        <f ca="1">$M$33*$Z$33</f>
        <v>4700.3030309253018</v>
      </c>
      <c r="AG33" s="6">
        <f>$O$33*$AA$33</f>
        <v>274.65477863816994</v>
      </c>
    </row>
    <row r="34" spans="1:33" ht="11.25" customHeight="1" x14ac:dyDescent="0.25">
      <c r="A34" s="4" t="s">
        <v>21</v>
      </c>
      <c r="B34" s="4" t="s">
        <v>39</v>
      </c>
      <c r="C34" s="4" t="s">
        <v>40</v>
      </c>
      <c r="D34" s="4" t="s">
        <v>38</v>
      </c>
      <c r="E34" s="4" t="s">
        <v>25</v>
      </c>
      <c r="F34" s="4" t="s">
        <v>25</v>
      </c>
      <c r="G34" s="4" t="s">
        <v>25</v>
      </c>
      <c r="H34" s="4" t="s">
        <v>34</v>
      </c>
      <c r="I34" s="5">
        <v>44621</v>
      </c>
      <c r="J34" s="6">
        <v>0</v>
      </c>
      <c r="K34" s="6">
        <v>0</v>
      </c>
      <c r="L34" s="6">
        <v>6.3390000000000004</v>
      </c>
      <c r="M34" s="6">
        <v>6.3390000000000004</v>
      </c>
      <c r="N34" s="6">
        <v>6.3390000000000004</v>
      </c>
      <c r="O34" s="6">
        <v>6.3390000000000004</v>
      </c>
      <c r="P34" s="6">
        <v>0</v>
      </c>
      <c r="Q34" s="4" t="s">
        <v>26</v>
      </c>
      <c r="R34" s="4">
        <v>0</v>
      </c>
      <c r="S34" s="6">
        <v>0</v>
      </c>
      <c r="T34" s="6">
        <v>23</v>
      </c>
      <c r="U34" s="6">
        <v>41</v>
      </c>
      <c r="V34" s="6">
        <f>IF(ISERROR(VLOOKUP($S$34,'TAR FIN'!$A$1:$O$86,15,0)),0,VLOOKUP($S$34,'TAR FIN'!$A$1:$O$86,15,0))</f>
        <v>0</v>
      </c>
      <c r="W34" s="6">
        <f>IF(ISERROR(VLOOKUP($T$34,'TAR FIN'!$A$1:$O$86,15,0)),0,VLOOKUP($T$34,'TAR FIN'!$A$1:$O$86,15,0))</f>
        <v>1634.54</v>
      </c>
      <c r="X34" s="6">
        <f>IF(ISERROR(VLOOKUP($U$34,'TAR FIN'!$A$1:$O$86,15,0)),0,VLOOKUP($U$34,'TAR FIN'!$A$1:$O$86,15,0))</f>
        <v>131.87</v>
      </c>
      <c r="Y34" s="6"/>
      <c r="Z34" s="6">
        <f ca="1">('TUSD BE'!$AM$11+'TUSD BF'!$AM$11+'TUSD CVA'!$AM$11)*1</f>
        <v>1992.4981055215353</v>
      </c>
      <c r="AA34" s="6">
        <f>('TE BE'!$AB$5+'TE BF'!$AB$5+'TE CVA'!$AB$5)*1</f>
        <v>116.42847759142431</v>
      </c>
      <c r="AB34" s="6">
        <f>$K$34*$V$34</f>
        <v>0</v>
      </c>
      <c r="AC34" s="6">
        <f>$M$34*$W$34</f>
        <v>10361.34906</v>
      </c>
      <c r="AD34" s="6">
        <f>$O$34*$X$34</f>
        <v>835.92393000000004</v>
      </c>
      <c r="AE34" s="6">
        <f>$K$34*$Y$34</f>
        <v>0</v>
      </c>
      <c r="AF34" s="6">
        <f ca="1">$M$34*$Z$34</f>
        <v>12630.445490901013</v>
      </c>
      <c r="AG34" s="6">
        <f>$O$34*$AA$34</f>
        <v>738.04011945203877</v>
      </c>
    </row>
    <row r="35" spans="1:33" ht="11.25" customHeight="1" x14ac:dyDescent="0.25">
      <c r="A35" s="4" t="s">
        <v>21</v>
      </c>
      <c r="B35" s="4" t="s">
        <v>39</v>
      </c>
      <c r="C35" s="4" t="s">
        <v>40</v>
      </c>
      <c r="D35" s="4" t="s">
        <v>38</v>
      </c>
      <c r="E35" s="4" t="s">
        <v>25</v>
      </c>
      <c r="F35" s="4" t="s">
        <v>25</v>
      </c>
      <c r="G35" s="4" t="s">
        <v>25</v>
      </c>
      <c r="H35" s="4" t="s">
        <v>34</v>
      </c>
      <c r="I35" s="5">
        <v>44652</v>
      </c>
      <c r="J35" s="6">
        <v>0</v>
      </c>
      <c r="K35" s="6">
        <v>0</v>
      </c>
      <c r="L35" s="6">
        <v>4.1449999999999996</v>
      </c>
      <c r="M35" s="6">
        <v>4.1449999999999996</v>
      </c>
      <c r="N35" s="6">
        <v>4.1449999999999996</v>
      </c>
      <c r="O35" s="6">
        <v>4.1449999999999996</v>
      </c>
      <c r="P35" s="6">
        <v>0</v>
      </c>
      <c r="Q35" s="4" t="s">
        <v>26</v>
      </c>
      <c r="R35" s="4">
        <v>0</v>
      </c>
      <c r="S35" s="6">
        <v>0</v>
      </c>
      <c r="T35" s="6">
        <v>23</v>
      </c>
      <c r="U35" s="6">
        <v>41</v>
      </c>
      <c r="V35" s="6">
        <f>IF(ISERROR(VLOOKUP($S$35,'TAR FIN'!$A$1:$O$86,15,0)),0,VLOOKUP($S$35,'TAR FIN'!$A$1:$O$86,15,0))</f>
        <v>0</v>
      </c>
      <c r="W35" s="6">
        <f>IF(ISERROR(VLOOKUP($T$35,'TAR FIN'!$A$1:$O$86,15,0)),0,VLOOKUP($T$35,'TAR FIN'!$A$1:$O$86,15,0))</f>
        <v>1634.54</v>
      </c>
      <c r="X35" s="6">
        <f>IF(ISERROR(VLOOKUP($U$35,'TAR FIN'!$A$1:$O$86,15,0)),0,VLOOKUP($U$35,'TAR FIN'!$A$1:$O$86,15,0))</f>
        <v>131.87</v>
      </c>
      <c r="Y35" s="6"/>
      <c r="Z35" s="6">
        <f ca="1">('TUSD BE'!$AM$11+'TUSD BF'!$AM$11+'TUSD CVA'!$AM$11)*1</f>
        <v>1992.4981055215353</v>
      </c>
      <c r="AA35" s="6">
        <f>('TE BE'!$AB$5+'TE BF'!$AB$5+'TE CVA'!$AB$5)*1</f>
        <v>116.42847759142431</v>
      </c>
      <c r="AB35" s="6">
        <f>$K$35*$V$35</f>
        <v>0</v>
      </c>
      <c r="AC35" s="6">
        <f>$M$35*$W$35</f>
        <v>6775.1682999999994</v>
      </c>
      <c r="AD35" s="6">
        <f>$O$35*$X$35</f>
        <v>546.60114999999996</v>
      </c>
      <c r="AE35" s="6">
        <f>$K$35*$Y$35</f>
        <v>0</v>
      </c>
      <c r="AF35" s="6">
        <f ca="1">$M$35*$Z$35</f>
        <v>8258.9046473867638</v>
      </c>
      <c r="AG35" s="6">
        <f>$O$35*$AA$35</f>
        <v>482.59603961645371</v>
      </c>
    </row>
    <row r="36" spans="1:33" ht="11.25" customHeight="1" x14ac:dyDescent="0.25">
      <c r="A36" s="4" t="s">
        <v>21</v>
      </c>
      <c r="B36" s="4" t="s">
        <v>39</v>
      </c>
      <c r="C36" s="4" t="s">
        <v>40</v>
      </c>
      <c r="D36" s="4" t="s">
        <v>38</v>
      </c>
      <c r="E36" s="4" t="s">
        <v>25</v>
      </c>
      <c r="F36" s="4" t="s">
        <v>25</v>
      </c>
      <c r="G36" s="4" t="s">
        <v>25</v>
      </c>
      <c r="H36" s="4" t="s">
        <v>34</v>
      </c>
      <c r="I36" s="5">
        <v>44682</v>
      </c>
      <c r="J36" s="6">
        <v>0</v>
      </c>
      <c r="K36" s="6">
        <v>0</v>
      </c>
      <c r="L36" s="6">
        <v>3.5009999999999999</v>
      </c>
      <c r="M36" s="6">
        <v>3.5009999999999999</v>
      </c>
      <c r="N36" s="6">
        <v>3.5009999999999999</v>
      </c>
      <c r="O36" s="6">
        <v>3.5009999999999999</v>
      </c>
      <c r="P36" s="6">
        <v>0</v>
      </c>
      <c r="Q36" s="4" t="s">
        <v>26</v>
      </c>
      <c r="R36" s="4">
        <v>0</v>
      </c>
      <c r="S36" s="6">
        <v>0</v>
      </c>
      <c r="T36" s="6">
        <v>23</v>
      </c>
      <c r="U36" s="6">
        <v>41</v>
      </c>
      <c r="V36" s="6">
        <f>IF(ISERROR(VLOOKUP($S$36,'TAR FIN'!$A$1:$O$86,15,0)),0,VLOOKUP($S$36,'TAR FIN'!$A$1:$O$86,15,0))</f>
        <v>0</v>
      </c>
      <c r="W36" s="6">
        <f>IF(ISERROR(VLOOKUP($T$36,'TAR FIN'!$A$1:$O$86,15,0)),0,VLOOKUP($T$36,'TAR FIN'!$A$1:$O$86,15,0))</f>
        <v>1634.54</v>
      </c>
      <c r="X36" s="6">
        <f>IF(ISERROR(VLOOKUP($U$36,'TAR FIN'!$A$1:$O$86,15,0)),0,VLOOKUP($U$36,'TAR FIN'!$A$1:$O$86,15,0))</f>
        <v>131.87</v>
      </c>
      <c r="Y36" s="6"/>
      <c r="Z36" s="6">
        <f ca="1">('TUSD BE'!$AM$11+'TUSD BF'!$AM$11+'TUSD CVA'!$AM$11)*1</f>
        <v>1992.4981055215353</v>
      </c>
      <c r="AA36" s="6">
        <f>('TE BE'!$AB$5+'TE BF'!$AB$5+'TE CVA'!$AB$5)*1</f>
        <v>116.42847759142431</v>
      </c>
      <c r="AB36" s="6">
        <f>$K$36*$V$36</f>
        <v>0</v>
      </c>
      <c r="AC36" s="6">
        <f>$M$36*$W$36</f>
        <v>5722.5245399999994</v>
      </c>
      <c r="AD36" s="6">
        <f>$O$36*$X$36</f>
        <v>461.67687000000001</v>
      </c>
      <c r="AE36" s="6">
        <f>$K$36*$Y$36</f>
        <v>0</v>
      </c>
      <c r="AF36" s="6">
        <f ca="1">$M$36*$Z$36</f>
        <v>6975.7358674308953</v>
      </c>
      <c r="AG36" s="6">
        <f>$O$36*$AA$36</f>
        <v>407.61610004757648</v>
      </c>
    </row>
    <row r="37" spans="1:33" ht="11.25" customHeight="1" x14ac:dyDescent="0.25">
      <c r="A37" s="4" t="s">
        <v>21</v>
      </c>
      <c r="B37" s="4" t="s">
        <v>39</v>
      </c>
      <c r="C37" s="4" t="s">
        <v>40</v>
      </c>
      <c r="D37" s="4" t="s">
        <v>38</v>
      </c>
      <c r="E37" s="4" t="s">
        <v>25</v>
      </c>
      <c r="F37" s="4" t="s">
        <v>25</v>
      </c>
      <c r="G37" s="4" t="s">
        <v>25</v>
      </c>
      <c r="H37" s="4" t="s">
        <v>34</v>
      </c>
      <c r="I37" s="5">
        <v>44713</v>
      </c>
      <c r="J37" s="6">
        <v>0</v>
      </c>
      <c r="K37" s="6">
        <v>0</v>
      </c>
      <c r="L37" s="6">
        <v>3.863</v>
      </c>
      <c r="M37" s="6">
        <v>3.863</v>
      </c>
      <c r="N37" s="6">
        <v>3.863</v>
      </c>
      <c r="O37" s="6">
        <v>3.863</v>
      </c>
      <c r="P37" s="6">
        <v>0</v>
      </c>
      <c r="Q37" s="4" t="s">
        <v>26</v>
      </c>
      <c r="R37" s="4">
        <v>0</v>
      </c>
      <c r="S37" s="6">
        <v>0</v>
      </c>
      <c r="T37" s="6">
        <v>23</v>
      </c>
      <c r="U37" s="6">
        <v>41</v>
      </c>
      <c r="V37" s="6">
        <f>IF(ISERROR(VLOOKUP($S$37,'TAR FIN'!$A$1:$O$86,15,0)),0,VLOOKUP($S$37,'TAR FIN'!$A$1:$O$86,15,0))</f>
        <v>0</v>
      </c>
      <c r="W37" s="6">
        <f>IF(ISERROR(VLOOKUP($T$37,'TAR FIN'!$A$1:$O$86,15,0)),0,VLOOKUP($T$37,'TAR FIN'!$A$1:$O$86,15,0))</f>
        <v>1634.54</v>
      </c>
      <c r="X37" s="6">
        <f>IF(ISERROR(VLOOKUP($U$37,'TAR FIN'!$A$1:$O$86,15,0)),0,VLOOKUP($U$37,'TAR FIN'!$A$1:$O$86,15,0))</f>
        <v>131.87</v>
      </c>
      <c r="Y37" s="6"/>
      <c r="Z37" s="6">
        <f ca="1">('TUSD BE'!$AM$11+'TUSD BF'!$AM$11+'TUSD CVA'!$AM$11)*1</f>
        <v>1992.4981055215353</v>
      </c>
      <c r="AA37" s="6">
        <f>('TE BE'!$AB$5+'TE BF'!$AB$5+'TE CVA'!$AB$5)*1</f>
        <v>116.42847759142431</v>
      </c>
      <c r="AB37" s="6">
        <f>$K$37*$V$37</f>
        <v>0</v>
      </c>
      <c r="AC37" s="6">
        <f>$M$37*$W$37</f>
        <v>6314.2280199999996</v>
      </c>
      <c r="AD37" s="6">
        <f>$O$37*$X$37</f>
        <v>509.41381000000001</v>
      </c>
      <c r="AE37" s="6">
        <f>$K$37*$Y$37</f>
        <v>0</v>
      </c>
      <c r="AF37" s="6">
        <f ca="1">$M$37*$Z$37</f>
        <v>7697.0201816296913</v>
      </c>
      <c r="AG37" s="6">
        <f>$O$37*$AA$37</f>
        <v>449.76320893567214</v>
      </c>
    </row>
    <row r="38" spans="1:33" ht="11.25" customHeight="1" x14ac:dyDescent="0.25">
      <c r="A38" s="4" t="s">
        <v>21</v>
      </c>
      <c r="B38" s="4" t="s">
        <v>39</v>
      </c>
      <c r="C38" s="4" t="s">
        <v>40</v>
      </c>
      <c r="D38" s="4" t="s">
        <v>49</v>
      </c>
      <c r="E38" s="4" t="s">
        <v>25</v>
      </c>
      <c r="F38" s="4" t="s">
        <v>25</v>
      </c>
      <c r="G38" s="4" t="s">
        <v>25</v>
      </c>
      <c r="H38" s="4" t="s">
        <v>35</v>
      </c>
      <c r="I38" s="5">
        <v>44470</v>
      </c>
      <c r="J38" s="6">
        <v>0</v>
      </c>
      <c r="K38" s="6">
        <v>0</v>
      </c>
      <c r="L38" s="6">
        <v>11.662000000000001</v>
      </c>
      <c r="M38" s="6">
        <v>11.662000000000001</v>
      </c>
      <c r="N38" s="6">
        <v>11.662000000000001</v>
      </c>
      <c r="O38" s="6">
        <v>11.662000000000001</v>
      </c>
      <c r="P38" s="6">
        <v>0</v>
      </c>
      <c r="Q38" s="4" t="s">
        <v>26</v>
      </c>
      <c r="R38" s="4">
        <v>0</v>
      </c>
      <c r="S38" s="6">
        <v>0</v>
      </c>
      <c r="T38" s="6">
        <v>21</v>
      </c>
      <c r="U38" s="6">
        <v>48</v>
      </c>
      <c r="V38" s="6">
        <f>IF(ISERROR(VLOOKUP($S$38,'TAR FIN'!$A$1:$O$86,15,0)),0,VLOOKUP($S$38,'TAR FIN'!$A$1:$O$86,15,0))</f>
        <v>0</v>
      </c>
      <c r="W38" s="6">
        <f>IF(ISERROR(VLOOKUP($T$38,'TAR FIN'!$A$1:$O$86,15,0)),0,VLOOKUP($T$38,'TAR FIN'!$A$1:$O$86,15,0))</f>
        <v>67.53</v>
      </c>
      <c r="X38" s="6">
        <f>IF(ISERROR(VLOOKUP($U$38,'TAR FIN'!$A$1:$O$86,15,0)),0,VLOOKUP($U$38,'TAR FIN'!$A$1:$O$86,15,0))</f>
        <v>131.87</v>
      </c>
      <c r="Y38" s="6"/>
      <c r="Z38" s="6">
        <f ca="1">('TUSD BE'!$AM$12+'TUSD BF'!$AM$12+'TUSD CVA'!$AM$12)*1</f>
        <v>97.13883152087493</v>
      </c>
      <c r="AA38" s="6">
        <f>('TE BE'!$AB$6+'TE BF'!$AB$6+'TE CVA'!$AB$6)*1</f>
        <v>116.42847759142431</v>
      </c>
      <c r="AB38" s="6">
        <f>$K$38*$V$38</f>
        <v>0</v>
      </c>
      <c r="AC38" s="6">
        <f>$M$38*$W$38</f>
        <v>787.53486000000009</v>
      </c>
      <c r="AD38" s="6">
        <f>$O$38*$X$38</f>
        <v>1537.8679400000001</v>
      </c>
      <c r="AE38" s="6">
        <f>$K$38*$Y$38</f>
        <v>0</v>
      </c>
      <c r="AF38" s="6">
        <f ca="1">$M$38*$Z$38</f>
        <v>1132.8330531964434</v>
      </c>
      <c r="AG38" s="6">
        <f>$O$38*$AA$38</f>
        <v>1357.7889056711904</v>
      </c>
    </row>
    <row r="39" spans="1:33" ht="11.25" customHeight="1" x14ac:dyDescent="0.25">
      <c r="A39" s="4" t="s">
        <v>21</v>
      </c>
      <c r="B39" s="4" t="s">
        <v>39</v>
      </c>
      <c r="C39" s="4" t="s">
        <v>40</v>
      </c>
      <c r="D39" s="4" t="s">
        <v>49</v>
      </c>
      <c r="E39" s="4" t="s">
        <v>25</v>
      </c>
      <c r="F39" s="4" t="s">
        <v>25</v>
      </c>
      <c r="G39" s="4" t="s">
        <v>25</v>
      </c>
      <c r="H39" s="4" t="s">
        <v>35</v>
      </c>
      <c r="I39" s="5">
        <v>44501</v>
      </c>
      <c r="J39" s="6">
        <v>0</v>
      </c>
      <c r="K39" s="6">
        <v>0</v>
      </c>
      <c r="L39" s="6">
        <v>59.414999999999999</v>
      </c>
      <c r="M39" s="6">
        <v>59.414999999999999</v>
      </c>
      <c r="N39" s="6">
        <v>59.414999999999999</v>
      </c>
      <c r="O39" s="6">
        <v>59.414999999999999</v>
      </c>
      <c r="P39" s="6">
        <v>0</v>
      </c>
      <c r="Q39" s="4" t="s">
        <v>26</v>
      </c>
      <c r="R39" s="4">
        <v>0</v>
      </c>
      <c r="S39" s="6">
        <v>0</v>
      </c>
      <c r="T39" s="6">
        <v>21</v>
      </c>
      <c r="U39" s="6">
        <v>48</v>
      </c>
      <c r="V39" s="6">
        <f>IF(ISERROR(VLOOKUP($S$39,'TAR FIN'!$A$1:$O$86,15,0)),0,VLOOKUP($S$39,'TAR FIN'!$A$1:$O$86,15,0))</f>
        <v>0</v>
      </c>
      <c r="W39" s="6">
        <f>IF(ISERROR(VLOOKUP($T$39,'TAR FIN'!$A$1:$O$86,15,0)),0,VLOOKUP($T$39,'TAR FIN'!$A$1:$O$86,15,0))</f>
        <v>67.53</v>
      </c>
      <c r="X39" s="6">
        <f>IF(ISERROR(VLOOKUP($U$39,'TAR FIN'!$A$1:$O$86,15,0)),0,VLOOKUP($U$39,'TAR FIN'!$A$1:$O$86,15,0))</f>
        <v>131.87</v>
      </c>
      <c r="Y39" s="6"/>
      <c r="Z39" s="6">
        <f ca="1">('TUSD BE'!$AM$12+'TUSD BF'!$AM$12+'TUSD CVA'!$AM$12)*1</f>
        <v>97.13883152087493</v>
      </c>
      <c r="AA39" s="6">
        <f>('TE BE'!$AB$6+'TE BF'!$AB$6+'TE CVA'!$AB$6)*1</f>
        <v>116.42847759142431</v>
      </c>
      <c r="AB39" s="6">
        <f>$K$39*$V$39</f>
        <v>0</v>
      </c>
      <c r="AC39" s="6">
        <f>$M$39*$W$39</f>
        <v>4012.29495</v>
      </c>
      <c r="AD39" s="6">
        <f>$O$39*$X$39</f>
        <v>7835.0560500000001</v>
      </c>
      <c r="AE39" s="6">
        <f>$K$39*$Y$39</f>
        <v>0</v>
      </c>
      <c r="AF39" s="6">
        <f ca="1">$M$39*$Z$39</f>
        <v>5771.5036748127841</v>
      </c>
      <c r="AG39" s="6">
        <f>$O$39*$AA$39</f>
        <v>6917.5979960944751</v>
      </c>
    </row>
    <row r="40" spans="1:33" ht="11.25" customHeight="1" x14ac:dyDescent="0.25">
      <c r="A40" s="4" t="s">
        <v>21</v>
      </c>
      <c r="B40" s="4" t="s">
        <v>39</v>
      </c>
      <c r="C40" s="4" t="s">
        <v>40</v>
      </c>
      <c r="D40" s="4" t="s">
        <v>49</v>
      </c>
      <c r="E40" s="4" t="s">
        <v>25</v>
      </c>
      <c r="F40" s="4" t="s">
        <v>25</v>
      </c>
      <c r="G40" s="4" t="s">
        <v>25</v>
      </c>
      <c r="H40" s="4" t="s">
        <v>35</v>
      </c>
      <c r="I40" s="5">
        <v>44531</v>
      </c>
      <c r="J40" s="6">
        <v>0</v>
      </c>
      <c r="K40" s="6">
        <v>0</v>
      </c>
      <c r="L40" s="6">
        <v>53.637999999999998</v>
      </c>
      <c r="M40" s="6">
        <v>53.637999999999998</v>
      </c>
      <c r="N40" s="6">
        <v>53.637999999999998</v>
      </c>
      <c r="O40" s="6">
        <v>53.637999999999998</v>
      </c>
      <c r="P40" s="6">
        <v>0</v>
      </c>
      <c r="Q40" s="4" t="s">
        <v>26</v>
      </c>
      <c r="R40" s="4">
        <v>0</v>
      </c>
      <c r="S40" s="6">
        <v>0</v>
      </c>
      <c r="T40" s="6">
        <v>21</v>
      </c>
      <c r="U40" s="6">
        <v>48</v>
      </c>
      <c r="V40" s="6">
        <f>IF(ISERROR(VLOOKUP($S$40,'TAR FIN'!$A$1:$O$86,15,0)),0,VLOOKUP($S$40,'TAR FIN'!$A$1:$O$86,15,0))</f>
        <v>0</v>
      </c>
      <c r="W40" s="6">
        <f>IF(ISERROR(VLOOKUP($T$40,'TAR FIN'!$A$1:$O$86,15,0)),0,VLOOKUP($T$40,'TAR FIN'!$A$1:$O$86,15,0))</f>
        <v>67.53</v>
      </c>
      <c r="X40" s="6">
        <f>IF(ISERROR(VLOOKUP($U$40,'TAR FIN'!$A$1:$O$86,15,0)),0,VLOOKUP($U$40,'TAR FIN'!$A$1:$O$86,15,0))</f>
        <v>131.87</v>
      </c>
      <c r="Y40" s="6"/>
      <c r="Z40" s="6">
        <f ca="1">('TUSD BE'!$AM$12+'TUSD BF'!$AM$12+'TUSD CVA'!$AM$12)*1</f>
        <v>97.13883152087493</v>
      </c>
      <c r="AA40" s="6">
        <f>('TE BE'!$AB$6+'TE BF'!$AB$6+'TE CVA'!$AB$6)*1</f>
        <v>116.42847759142431</v>
      </c>
      <c r="AB40" s="6">
        <f>$K$40*$V$40</f>
        <v>0</v>
      </c>
      <c r="AC40" s="6">
        <f>$M$40*$W$40</f>
        <v>3622.1741400000001</v>
      </c>
      <c r="AD40" s="6">
        <f>$O$40*$X$40</f>
        <v>7073.2430599999998</v>
      </c>
      <c r="AE40" s="6">
        <f>$K$40*$Y$40</f>
        <v>0</v>
      </c>
      <c r="AF40" s="6">
        <f ca="1">$M$40*$Z$40</f>
        <v>5210.3326451166895</v>
      </c>
      <c r="AG40" s="6">
        <f>$O$40*$AA$40</f>
        <v>6244.9906810488174</v>
      </c>
    </row>
    <row r="41" spans="1:33" ht="11.25" customHeight="1" x14ac:dyDescent="0.25">
      <c r="A41" s="4" t="s">
        <v>21</v>
      </c>
      <c r="B41" s="4" t="s">
        <v>39</v>
      </c>
      <c r="C41" s="4" t="s">
        <v>40</v>
      </c>
      <c r="D41" s="4" t="s">
        <v>49</v>
      </c>
      <c r="E41" s="4" t="s">
        <v>25</v>
      </c>
      <c r="F41" s="4" t="s">
        <v>25</v>
      </c>
      <c r="G41" s="4" t="s">
        <v>25</v>
      </c>
      <c r="H41" s="4" t="s">
        <v>35</v>
      </c>
      <c r="I41" s="5">
        <v>44562</v>
      </c>
      <c r="J41" s="6">
        <v>0</v>
      </c>
      <c r="K41" s="6">
        <v>0</v>
      </c>
      <c r="L41" s="6">
        <v>81.281000000000006</v>
      </c>
      <c r="M41" s="6">
        <v>81.281000000000006</v>
      </c>
      <c r="N41" s="6">
        <v>81.281000000000006</v>
      </c>
      <c r="O41" s="6">
        <v>81.281000000000006</v>
      </c>
      <c r="P41" s="6">
        <v>0</v>
      </c>
      <c r="Q41" s="4" t="s">
        <v>26</v>
      </c>
      <c r="R41" s="4">
        <v>0</v>
      </c>
      <c r="S41" s="6">
        <v>0</v>
      </c>
      <c r="T41" s="6">
        <v>21</v>
      </c>
      <c r="U41" s="6">
        <v>48</v>
      </c>
      <c r="V41" s="6">
        <f>IF(ISERROR(VLOOKUP($S$41,'TAR FIN'!$A$1:$O$86,15,0)),0,VLOOKUP($S$41,'TAR FIN'!$A$1:$O$86,15,0))</f>
        <v>0</v>
      </c>
      <c r="W41" s="6">
        <f>IF(ISERROR(VLOOKUP($T$41,'TAR FIN'!$A$1:$O$86,15,0)),0,VLOOKUP($T$41,'TAR FIN'!$A$1:$O$86,15,0))</f>
        <v>67.53</v>
      </c>
      <c r="X41" s="6">
        <f>IF(ISERROR(VLOOKUP($U$41,'TAR FIN'!$A$1:$O$86,15,0)),0,VLOOKUP($U$41,'TAR FIN'!$A$1:$O$86,15,0))</f>
        <v>131.87</v>
      </c>
      <c r="Y41" s="6"/>
      <c r="Z41" s="6">
        <f ca="1">('TUSD BE'!$AM$12+'TUSD BF'!$AM$12+'TUSD CVA'!$AM$12)*1</f>
        <v>97.13883152087493</v>
      </c>
      <c r="AA41" s="6">
        <f>('TE BE'!$AB$6+'TE BF'!$AB$6+'TE CVA'!$AB$6)*1</f>
        <v>116.42847759142431</v>
      </c>
      <c r="AB41" s="6">
        <f>$K$41*$V$41</f>
        <v>0</v>
      </c>
      <c r="AC41" s="6">
        <f>$M$41*$W$41</f>
        <v>5488.9059300000008</v>
      </c>
      <c r="AD41" s="6">
        <f>$O$41*$X$41</f>
        <v>10718.52547</v>
      </c>
      <c r="AE41" s="6">
        <f>$K$41*$Y$41</f>
        <v>0</v>
      </c>
      <c r="AF41" s="6">
        <f ca="1">$M$41*$Z$41</f>
        <v>7895.5413648482354</v>
      </c>
      <c r="AG41" s="6">
        <f>$O$41*$AA$41</f>
        <v>9463.4230871085601</v>
      </c>
    </row>
    <row r="42" spans="1:33" ht="11.25" customHeight="1" x14ac:dyDescent="0.25">
      <c r="A42" s="4" t="s">
        <v>21</v>
      </c>
      <c r="B42" s="4" t="s">
        <v>39</v>
      </c>
      <c r="C42" s="4" t="s">
        <v>40</v>
      </c>
      <c r="D42" s="4" t="s">
        <v>49</v>
      </c>
      <c r="E42" s="4" t="s">
        <v>25</v>
      </c>
      <c r="F42" s="4" t="s">
        <v>25</v>
      </c>
      <c r="G42" s="4" t="s">
        <v>25</v>
      </c>
      <c r="H42" s="4" t="s">
        <v>35</v>
      </c>
      <c r="I42" s="5">
        <v>44593</v>
      </c>
      <c r="J42" s="6">
        <v>0</v>
      </c>
      <c r="K42" s="6">
        <v>0</v>
      </c>
      <c r="L42" s="6">
        <v>110.997</v>
      </c>
      <c r="M42" s="6">
        <v>110.997</v>
      </c>
      <c r="N42" s="6">
        <v>110.997</v>
      </c>
      <c r="O42" s="6">
        <v>110.997</v>
      </c>
      <c r="P42" s="6">
        <v>0</v>
      </c>
      <c r="Q42" s="4" t="s">
        <v>26</v>
      </c>
      <c r="R42" s="4">
        <v>0</v>
      </c>
      <c r="S42" s="6">
        <v>0</v>
      </c>
      <c r="T42" s="6">
        <v>21</v>
      </c>
      <c r="U42" s="6">
        <v>48</v>
      </c>
      <c r="V42" s="6">
        <f>IF(ISERROR(VLOOKUP($S$42,'TAR FIN'!$A$1:$O$86,15,0)),0,VLOOKUP($S$42,'TAR FIN'!$A$1:$O$86,15,0))</f>
        <v>0</v>
      </c>
      <c r="W42" s="6">
        <f>IF(ISERROR(VLOOKUP($T$42,'TAR FIN'!$A$1:$O$86,15,0)),0,VLOOKUP($T$42,'TAR FIN'!$A$1:$O$86,15,0))</f>
        <v>67.53</v>
      </c>
      <c r="X42" s="6">
        <f>IF(ISERROR(VLOOKUP($U$42,'TAR FIN'!$A$1:$O$86,15,0)),0,VLOOKUP($U$42,'TAR FIN'!$A$1:$O$86,15,0))</f>
        <v>131.87</v>
      </c>
      <c r="Y42" s="6"/>
      <c r="Z42" s="6">
        <f ca="1">('TUSD BE'!$AM$12+'TUSD BF'!$AM$12+'TUSD CVA'!$AM$12)*1</f>
        <v>97.13883152087493</v>
      </c>
      <c r="AA42" s="6">
        <f>('TE BE'!$AB$6+'TE BF'!$AB$6+'TE CVA'!$AB$6)*1</f>
        <v>116.42847759142431</v>
      </c>
      <c r="AB42" s="6">
        <f>$K$42*$V$42</f>
        <v>0</v>
      </c>
      <c r="AC42" s="6">
        <f>$M$42*$W$42</f>
        <v>7495.6274100000001</v>
      </c>
      <c r="AD42" s="6">
        <f>$O$42*$X$42</f>
        <v>14637.17439</v>
      </c>
      <c r="AE42" s="6">
        <f>$K$42*$Y$42</f>
        <v>0</v>
      </c>
      <c r="AF42" s="6">
        <f ca="1">$M$42*$Z$42</f>
        <v>10782.118882322555</v>
      </c>
      <c r="AG42" s="6">
        <f>$O$42*$AA$42</f>
        <v>12923.211727215325</v>
      </c>
    </row>
    <row r="43" spans="1:33" ht="11.25" customHeight="1" x14ac:dyDescent="0.25">
      <c r="A43" s="4" t="s">
        <v>21</v>
      </c>
      <c r="B43" s="4" t="s">
        <v>39</v>
      </c>
      <c r="C43" s="4" t="s">
        <v>40</v>
      </c>
      <c r="D43" s="4" t="s">
        <v>49</v>
      </c>
      <c r="E43" s="4" t="s">
        <v>25</v>
      </c>
      <c r="F43" s="4" t="s">
        <v>25</v>
      </c>
      <c r="G43" s="4" t="s">
        <v>25</v>
      </c>
      <c r="H43" s="4" t="s">
        <v>35</v>
      </c>
      <c r="I43" s="5">
        <v>44621</v>
      </c>
      <c r="J43" s="6">
        <v>0</v>
      </c>
      <c r="K43" s="6">
        <v>0</v>
      </c>
      <c r="L43" s="6">
        <v>134.363</v>
      </c>
      <c r="M43" s="6">
        <v>134.363</v>
      </c>
      <c r="N43" s="6">
        <v>134.363</v>
      </c>
      <c r="O43" s="6">
        <v>134.363</v>
      </c>
      <c r="P43" s="6">
        <v>0</v>
      </c>
      <c r="Q43" s="4" t="s">
        <v>26</v>
      </c>
      <c r="R43" s="4">
        <v>0</v>
      </c>
      <c r="S43" s="6">
        <v>0</v>
      </c>
      <c r="T43" s="6">
        <v>21</v>
      </c>
      <c r="U43" s="6">
        <v>48</v>
      </c>
      <c r="V43" s="6">
        <f>IF(ISERROR(VLOOKUP($S$43,'TAR FIN'!$A$1:$O$86,15,0)),0,VLOOKUP($S$43,'TAR FIN'!$A$1:$O$86,15,0))</f>
        <v>0</v>
      </c>
      <c r="W43" s="6">
        <f>IF(ISERROR(VLOOKUP($T$43,'TAR FIN'!$A$1:$O$86,15,0)),0,VLOOKUP($T$43,'TAR FIN'!$A$1:$O$86,15,0))</f>
        <v>67.53</v>
      </c>
      <c r="X43" s="6">
        <f>IF(ISERROR(VLOOKUP($U$43,'TAR FIN'!$A$1:$O$86,15,0)),0,VLOOKUP($U$43,'TAR FIN'!$A$1:$O$86,15,0))</f>
        <v>131.87</v>
      </c>
      <c r="Y43" s="6"/>
      <c r="Z43" s="6">
        <f ca="1">('TUSD BE'!$AM$12+'TUSD BF'!$AM$12+'TUSD CVA'!$AM$12)*1</f>
        <v>97.13883152087493</v>
      </c>
      <c r="AA43" s="6">
        <f>('TE BE'!$AB$6+'TE BF'!$AB$6+'TE CVA'!$AB$6)*1</f>
        <v>116.42847759142431</v>
      </c>
      <c r="AB43" s="6">
        <f>$K$43*$V$43</f>
        <v>0</v>
      </c>
      <c r="AC43" s="6">
        <f>$M$43*$W$43</f>
        <v>9073.5333900000005</v>
      </c>
      <c r="AD43" s="6">
        <f>$O$43*$X$43</f>
        <v>17718.448810000002</v>
      </c>
      <c r="AE43" s="6">
        <f>$K$43*$Y$43</f>
        <v>0</v>
      </c>
      <c r="AF43" s="6">
        <f ca="1">$M$43*$Z$43</f>
        <v>13051.864819639319</v>
      </c>
      <c r="AG43" s="6">
        <f>$O$43*$AA$43</f>
        <v>15643.679534616545</v>
      </c>
    </row>
    <row r="44" spans="1:33" ht="11.25" customHeight="1" x14ac:dyDescent="0.25">
      <c r="A44" s="4" t="s">
        <v>21</v>
      </c>
      <c r="B44" s="4" t="s">
        <v>39</v>
      </c>
      <c r="C44" s="4" t="s">
        <v>40</v>
      </c>
      <c r="D44" s="4" t="s">
        <v>49</v>
      </c>
      <c r="E44" s="4" t="s">
        <v>25</v>
      </c>
      <c r="F44" s="4" t="s">
        <v>25</v>
      </c>
      <c r="G44" s="4" t="s">
        <v>25</v>
      </c>
      <c r="H44" s="4" t="s">
        <v>35</v>
      </c>
      <c r="I44" s="5">
        <v>44652</v>
      </c>
      <c r="J44" s="6">
        <v>0</v>
      </c>
      <c r="K44" s="6">
        <v>0</v>
      </c>
      <c r="L44" s="6">
        <v>107.65600000000001</v>
      </c>
      <c r="M44" s="6">
        <v>107.65600000000001</v>
      </c>
      <c r="N44" s="6">
        <v>107.65600000000001</v>
      </c>
      <c r="O44" s="6">
        <v>107.65600000000001</v>
      </c>
      <c r="P44" s="6">
        <v>0</v>
      </c>
      <c r="Q44" s="4" t="s">
        <v>26</v>
      </c>
      <c r="R44" s="4">
        <v>0</v>
      </c>
      <c r="S44" s="6">
        <v>0</v>
      </c>
      <c r="T44" s="6">
        <v>21</v>
      </c>
      <c r="U44" s="6">
        <v>48</v>
      </c>
      <c r="V44" s="6">
        <f>IF(ISERROR(VLOOKUP($S$44,'TAR FIN'!$A$1:$O$86,15,0)),0,VLOOKUP($S$44,'TAR FIN'!$A$1:$O$86,15,0))</f>
        <v>0</v>
      </c>
      <c r="W44" s="6">
        <f>IF(ISERROR(VLOOKUP($T$44,'TAR FIN'!$A$1:$O$86,15,0)),0,VLOOKUP($T$44,'TAR FIN'!$A$1:$O$86,15,0))</f>
        <v>67.53</v>
      </c>
      <c r="X44" s="6">
        <f>IF(ISERROR(VLOOKUP($U$44,'TAR FIN'!$A$1:$O$86,15,0)),0,VLOOKUP($U$44,'TAR FIN'!$A$1:$O$86,15,0))</f>
        <v>131.87</v>
      </c>
      <c r="Y44" s="6"/>
      <c r="Z44" s="6">
        <f ca="1">('TUSD BE'!$AM$12+'TUSD BF'!$AM$12+'TUSD CVA'!$AM$12)*1</f>
        <v>97.13883152087493</v>
      </c>
      <c r="AA44" s="6">
        <f>('TE BE'!$AB$6+'TE BF'!$AB$6+'TE CVA'!$AB$6)*1</f>
        <v>116.42847759142431</v>
      </c>
      <c r="AB44" s="6">
        <f>$K$44*$V$44</f>
        <v>0</v>
      </c>
      <c r="AC44" s="6">
        <f>$M$44*$W$44</f>
        <v>7270.0096800000001</v>
      </c>
      <c r="AD44" s="6">
        <f>$O$44*$X$44</f>
        <v>14196.596720000001</v>
      </c>
      <c r="AE44" s="6">
        <f>$K$44*$Y$44</f>
        <v>0</v>
      </c>
      <c r="AF44" s="6">
        <f ca="1">$M$44*$Z$44</f>
        <v>10457.578046211313</v>
      </c>
      <c r="AG44" s="6">
        <f>$O$44*$AA$44</f>
        <v>12534.224183582377</v>
      </c>
    </row>
    <row r="45" spans="1:33" ht="11.25" customHeight="1" x14ac:dyDescent="0.25">
      <c r="A45" s="4" t="s">
        <v>21</v>
      </c>
      <c r="B45" s="4" t="s">
        <v>39</v>
      </c>
      <c r="C45" s="4" t="s">
        <v>40</v>
      </c>
      <c r="D45" s="4" t="s">
        <v>49</v>
      </c>
      <c r="E45" s="4" t="s">
        <v>25</v>
      </c>
      <c r="F45" s="4" t="s">
        <v>25</v>
      </c>
      <c r="G45" s="4" t="s">
        <v>25</v>
      </c>
      <c r="H45" s="4" t="s">
        <v>35</v>
      </c>
      <c r="I45" s="5">
        <v>44682</v>
      </c>
      <c r="J45" s="6">
        <v>0</v>
      </c>
      <c r="K45" s="6">
        <v>0</v>
      </c>
      <c r="L45" s="6">
        <v>91</v>
      </c>
      <c r="M45" s="6">
        <v>91</v>
      </c>
      <c r="N45" s="6">
        <v>91</v>
      </c>
      <c r="O45" s="6">
        <v>91</v>
      </c>
      <c r="P45" s="6">
        <v>0</v>
      </c>
      <c r="Q45" s="4" t="s">
        <v>26</v>
      </c>
      <c r="R45" s="4">
        <v>0</v>
      </c>
      <c r="S45" s="6">
        <v>0</v>
      </c>
      <c r="T45" s="6">
        <v>21</v>
      </c>
      <c r="U45" s="6">
        <v>48</v>
      </c>
      <c r="V45" s="6">
        <f>IF(ISERROR(VLOOKUP($S$45,'TAR FIN'!$A$1:$O$86,15,0)),0,VLOOKUP($S$45,'TAR FIN'!$A$1:$O$86,15,0))</f>
        <v>0</v>
      </c>
      <c r="W45" s="6">
        <f>IF(ISERROR(VLOOKUP($T$45,'TAR FIN'!$A$1:$O$86,15,0)),0,VLOOKUP($T$45,'TAR FIN'!$A$1:$O$86,15,0))</f>
        <v>67.53</v>
      </c>
      <c r="X45" s="6">
        <f>IF(ISERROR(VLOOKUP($U$45,'TAR FIN'!$A$1:$O$86,15,0)),0,VLOOKUP($U$45,'TAR FIN'!$A$1:$O$86,15,0))</f>
        <v>131.87</v>
      </c>
      <c r="Y45" s="6"/>
      <c r="Z45" s="6">
        <f ca="1">('TUSD BE'!$AM$12+'TUSD BF'!$AM$12+'TUSD CVA'!$AM$12)*1</f>
        <v>97.13883152087493</v>
      </c>
      <c r="AA45" s="6">
        <f>('TE BE'!$AB$6+'TE BF'!$AB$6+'TE CVA'!$AB$6)*1</f>
        <v>116.42847759142431</v>
      </c>
      <c r="AB45" s="6">
        <f>$K$45*$V$45</f>
        <v>0</v>
      </c>
      <c r="AC45" s="6">
        <f>$M$45*$W$45</f>
        <v>6145.2300000000005</v>
      </c>
      <c r="AD45" s="6">
        <f>$O$45*$X$45</f>
        <v>12000.17</v>
      </c>
      <c r="AE45" s="6">
        <f>$K$45*$Y$45</f>
        <v>0</v>
      </c>
      <c r="AF45" s="6">
        <f ca="1">$M$45*$Z$45</f>
        <v>8839.6336683996178</v>
      </c>
      <c r="AG45" s="6">
        <f>$O$45*$AA$45</f>
        <v>10594.991460819612</v>
      </c>
    </row>
    <row r="46" spans="1:33" ht="11.25" customHeight="1" x14ac:dyDescent="0.25">
      <c r="A46" s="4" t="s">
        <v>21</v>
      </c>
      <c r="B46" s="4" t="s">
        <v>39</v>
      </c>
      <c r="C46" s="4" t="s">
        <v>40</v>
      </c>
      <c r="D46" s="4" t="s">
        <v>49</v>
      </c>
      <c r="E46" s="4" t="s">
        <v>25</v>
      </c>
      <c r="F46" s="4" t="s">
        <v>25</v>
      </c>
      <c r="G46" s="4" t="s">
        <v>25</v>
      </c>
      <c r="H46" s="4" t="s">
        <v>35</v>
      </c>
      <c r="I46" s="5">
        <v>44713</v>
      </c>
      <c r="J46" s="6">
        <v>0</v>
      </c>
      <c r="K46" s="6">
        <v>0</v>
      </c>
      <c r="L46" s="6">
        <v>73.265000000000001</v>
      </c>
      <c r="M46" s="6">
        <v>73.265000000000001</v>
      </c>
      <c r="N46" s="6">
        <v>73.265000000000001</v>
      </c>
      <c r="O46" s="6">
        <v>73.265000000000001</v>
      </c>
      <c r="P46" s="6">
        <v>0</v>
      </c>
      <c r="Q46" s="4" t="s">
        <v>26</v>
      </c>
      <c r="R46" s="4">
        <v>0</v>
      </c>
      <c r="S46" s="6">
        <v>0</v>
      </c>
      <c r="T46" s="6">
        <v>21</v>
      </c>
      <c r="U46" s="6">
        <v>48</v>
      </c>
      <c r="V46" s="6">
        <f>IF(ISERROR(VLOOKUP($S$46,'TAR FIN'!$A$1:$O$86,15,0)),0,VLOOKUP($S$46,'TAR FIN'!$A$1:$O$86,15,0))</f>
        <v>0</v>
      </c>
      <c r="W46" s="6">
        <f>IF(ISERROR(VLOOKUP($T$46,'TAR FIN'!$A$1:$O$86,15,0)),0,VLOOKUP($T$46,'TAR FIN'!$A$1:$O$86,15,0))</f>
        <v>67.53</v>
      </c>
      <c r="X46" s="6">
        <f>IF(ISERROR(VLOOKUP($U$46,'TAR FIN'!$A$1:$O$86,15,0)),0,VLOOKUP($U$46,'TAR FIN'!$A$1:$O$86,15,0))</f>
        <v>131.87</v>
      </c>
      <c r="Y46" s="6"/>
      <c r="Z46" s="6">
        <f ca="1">('TUSD BE'!$AM$12+'TUSD BF'!$AM$12+'TUSD CVA'!$AM$12)*1</f>
        <v>97.13883152087493</v>
      </c>
      <c r="AA46" s="6">
        <f>('TE BE'!$AB$6+'TE BF'!$AB$6+'TE CVA'!$AB$6)*1</f>
        <v>116.42847759142431</v>
      </c>
      <c r="AB46" s="6">
        <f>$K$46*$V$46</f>
        <v>0</v>
      </c>
      <c r="AC46" s="6">
        <f>$M$46*$W$46</f>
        <v>4947.5854500000005</v>
      </c>
      <c r="AD46" s="6">
        <f>$O$46*$X$46</f>
        <v>9661.4555500000006</v>
      </c>
      <c r="AE46" s="6">
        <f>$K$46*$Y$46</f>
        <v>0</v>
      </c>
      <c r="AF46" s="6">
        <f ca="1">$M$46*$Z$46</f>
        <v>7116.8764913769019</v>
      </c>
      <c r="AG46" s="6">
        <f>$O$46*$AA$46</f>
        <v>8530.1324107357013</v>
      </c>
    </row>
    <row r="47" spans="1:33" ht="11.25" customHeight="1" x14ac:dyDescent="0.25">
      <c r="A47" s="4" t="s">
        <v>21</v>
      </c>
      <c r="B47" s="4" t="s">
        <v>39</v>
      </c>
      <c r="C47" s="4" t="s">
        <v>40</v>
      </c>
      <c r="D47" s="4" t="s">
        <v>49</v>
      </c>
      <c r="E47" s="4" t="s">
        <v>25</v>
      </c>
      <c r="F47" s="4" t="s">
        <v>25</v>
      </c>
      <c r="G47" s="4" t="s">
        <v>25</v>
      </c>
      <c r="H47" s="4" t="s">
        <v>25</v>
      </c>
      <c r="I47" s="5">
        <v>44470</v>
      </c>
      <c r="J47" s="6">
        <v>101</v>
      </c>
      <c r="K47" s="6">
        <v>101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4" t="s">
        <v>26</v>
      </c>
      <c r="R47" s="4">
        <v>0</v>
      </c>
      <c r="S47" s="6">
        <v>3</v>
      </c>
      <c r="T47" s="6">
        <v>0</v>
      </c>
      <c r="U47" s="6">
        <v>0</v>
      </c>
      <c r="V47" s="6">
        <f>IF(ISERROR(VLOOKUP($S$47,'TAR FIN'!$A$1:$O$86,15,0)),0,VLOOKUP($S$47,'TAR FIN'!$A$1:$O$86,15,0))</f>
        <v>31.06</v>
      </c>
      <c r="W47" s="6">
        <f>IF(ISERROR(VLOOKUP($T$47,'TAR FIN'!$A$1:$O$86,15,0)),0,VLOOKUP($T$47,'TAR FIN'!$A$1:$O$86,15,0))</f>
        <v>0</v>
      </c>
      <c r="X47" s="6">
        <f>IF(ISERROR(VLOOKUP($U$47,'TAR FIN'!$A$1:$O$86,15,0)),0,VLOOKUP($U$47,'TAR FIN'!$A$1:$O$86,15,0))</f>
        <v>0</v>
      </c>
      <c r="Y47" s="6">
        <f ca="1">('TUSD BE'!$AM$10+'TUSD BF'!$AM$10+'TUSD CVA'!$AM$10)*1</f>
        <v>37.6958879256484</v>
      </c>
      <c r="Z47" s="6"/>
      <c r="AA47" s="6"/>
      <c r="AB47" s="6">
        <f>$K$47*$V$47</f>
        <v>3137.06</v>
      </c>
      <c r="AC47" s="6">
        <f>$M$47*$W$47</f>
        <v>0</v>
      </c>
      <c r="AD47" s="6">
        <f>$O$47*$X$47</f>
        <v>0</v>
      </c>
      <c r="AE47" s="6">
        <f ca="1">$K$47*$Y$47</f>
        <v>3807.2846804904884</v>
      </c>
      <c r="AF47" s="6">
        <f>$M$47*$Z$47</f>
        <v>0</v>
      </c>
      <c r="AG47" s="6">
        <f>$O$47*$AA$47</f>
        <v>0</v>
      </c>
    </row>
    <row r="48" spans="1:33" ht="11.25" customHeight="1" x14ac:dyDescent="0.25">
      <c r="A48" s="4" t="s">
        <v>21</v>
      </c>
      <c r="B48" s="4" t="s">
        <v>39</v>
      </c>
      <c r="C48" s="4" t="s">
        <v>40</v>
      </c>
      <c r="D48" s="4" t="s">
        <v>49</v>
      </c>
      <c r="E48" s="4" t="s">
        <v>25</v>
      </c>
      <c r="F48" s="4" t="s">
        <v>25</v>
      </c>
      <c r="G48" s="4" t="s">
        <v>25</v>
      </c>
      <c r="H48" s="4" t="s">
        <v>25</v>
      </c>
      <c r="I48" s="5">
        <v>44501</v>
      </c>
      <c r="J48" s="6">
        <v>133</v>
      </c>
      <c r="K48" s="6">
        <v>133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4" t="s">
        <v>26</v>
      </c>
      <c r="R48" s="4">
        <v>0</v>
      </c>
      <c r="S48" s="6">
        <v>3</v>
      </c>
      <c r="T48" s="6">
        <v>0</v>
      </c>
      <c r="U48" s="6">
        <v>0</v>
      </c>
      <c r="V48" s="6">
        <f>IF(ISERROR(VLOOKUP($S$48,'TAR FIN'!$A$1:$O$86,15,0)),0,VLOOKUP($S$48,'TAR FIN'!$A$1:$O$86,15,0))</f>
        <v>31.06</v>
      </c>
      <c r="W48" s="6">
        <f>IF(ISERROR(VLOOKUP($T$48,'TAR FIN'!$A$1:$O$86,15,0)),0,VLOOKUP($T$48,'TAR FIN'!$A$1:$O$86,15,0))</f>
        <v>0</v>
      </c>
      <c r="X48" s="6">
        <f>IF(ISERROR(VLOOKUP($U$48,'TAR FIN'!$A$1:$O$86,15,0)),0,VLOOKUP($U$48,'TAR FIN'!$A$1:$O$86,15,0))</f>
        <v>0</v>
      </c>
      <c r="Y48" s="6">
        <f ca="1">('TUSD BE'!$AM$10+'TUSD BF'!$AM$10+'TUSD CVA'!$AM$10)*1</f>
        <v>37.6958879256484</v>
      </c>
      <c r="Z48" s="6"/>
      <c r="AA48" s="6"/>
      <c r="AB48" s="6">
        <f>$K$48*$V$48</f>
        <v>4130.9799999999996</v>
      </c>
      <c r="AC48" s="6">
        <f>$M$48*$W$48</f>
        <v>0</v>
      </c>
      <c r="AD48" s="6">
        <f>$O$48*$X$48</f>
        <v>0</v>
      </c>
      <c r="AE48" s="6">
        <f ca="1">$K$48*$Y$48</f>
        <v>5013.5530941112374</v>
      </c>
      <c r="AF48" s="6">
        <f>$M$48*$Z$48</f>
        <v>0</v>
      </c>
      <c r="AG48" s="6">
        <f>$O$48*$AA$48</f>
        <v>0</v>
      </c>
    </row>
    <row r="49" spans="1:33" ht="11.25" customHeight="1" x14ac:dyDescent="0.25">
      <c r="A49" s="4" t="s">
        <v>21</v>
      </c>
      <c r="B49" s="4" t="s">
        <v>39</v>
      </c>
      <c r="C49" s="4" t="s">
        <v>40</v>
      </c>
      <c r="D49" s="4" t="s">
        <v>49</v>
      </c>
      <c r="E49" s="4" t="s">
        <v>25</v>
      </c>
      <c r="F49" s="4" t="s">
        <v>25</v>
      </c>
      <c r="G49" s="4" t="s">
        <v>25</v>
      </c>
      <c r="H49" s="4" t="s">
        <v>25</v>
      </c>
      <c r="I49" s="5">
        <v>44531</v>
      </c>
      <c r="J49" s="6">
        <v>276</v>
      </c>
      <c r="K49" s="6">
        <v>276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4" t="s">
        <v>26</v>
      </c>
      <c r="R49" s="4">
        <v>0</v>
      </c>
      <c r="S49" s="6">
        <v>3</v>
      </c>
      <c r="T49" s="6">
        <v>0</v>
      </c>
      <c r="U49" s="6">
        <v>0</v>
      </c>
      <c r="V49" s="6">
        <f>IF(ISERROR(VLOOKUP($S$49,'TAR FIN'!$A$1:$O$86,15,0)),0,VLOOKUP($S$49,'TAR FIN'!$A$1:$O$86,15,0))</f>
        <v>31.06</v>
      </c>
      <c r="W49" s="6">
        <f>IF(ISERROR(VLOOKUP($T$49,'TAR FIN'!$A$1:$O$86,15,0)),0,VLOOKUP($T$49,'TAR FIN'!$A$1:$O$86,15,0))</f>
        <v>0</v>
      </c>
      <c r="X49" s="6">
        <f>IF(ISERROR(VLOOKUP($U$49,'TAR FIN'!$A$1:$O$86,15,0)),0,VLOOKUP($U$49,'TAR FIN'!$A$1:$O$86,15,0))</f>
        <v>0</v>
      </c>
      <c r="Y49" s="6">
        <f ca="1">('TUSD BE'!$AM$10+'TUSD BF'!$AM$10+'TUSD CVA'!$AM$10)*1</f>
        <v>37.6958879256484</v>
      </c>
      <c r="Z49" s="6"/>
      <c r="AA49" s="6"/>
      <c r="AB49" s="6">
        <f>$K$49*$V$49</f>
        <v>8572.56</v>
      </c>
      <c r="AC49" s="6">
        <f>$M$49*$W$49</f>
        <v>0</v>
      </c>
      <c r="AD49" s="6">
        <f>$O$49*$X$49</f>
        <v>0</v>
      </c>
      <c r="AE49" s="6">
        <f ca="1">$K$49*$Y$49</f>
        <v>10404.065067478958</v>
      </c>
      <c r="AF49" s="6">
        <f>$M$49*$Z$49</f>
        <v>0</v>
      </c>
      <c r="AG49" s="6">
        <f>$O$49*$AA$49</f>
        <v>0</v>
      </c>
    </row>
    <row r="50" spans="1:33" ht="11.25" customHeight="1" x14ac:dyDescent="0.25">
      <c r="A50" s="4" t="s">
        <v>21</v>
      </c>
      <c r="B50" s="4" t="s">
        <v>39</v>
      </c>
      <c r="C50" s="4" t="s">
        <v>40</v>
      </c>
      <c r="D50" s="4" t="s">
        <v>49</v>
      </c>
      <c r="E50" s="4" t="s">
        <v>25</v>
      </c>
      <c r="F50" s="4" t="s">
        <v>25</v>
      </c>
      <c r="G50" s="4" t="s">
        <v>25</v>
      </c>
      <c r="H50" s="4" t="s">
        <v>25</v>
      </c>
      <c r="I50" s="5">
        <v>44562</v>
      </c>
      <c r="J50" s="6">
        <v>163</v>
      </c>
      <c r="K50" s="6">
        <v>163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4" t="s">
        <v>26</v>
      </c>
      <c r="R50" s="4">
        <v>0</v>
      </c>
      <c r="S50" s="6">
        <v>3</v>
      </c>
      <c r="T50" s="6">
        <v>0</v>
      </c>
      <c r="U50" s="6">
        <v>0</v>
      </c>
      <c r="V50" s="6">
        <f>IF(ISERROR(VLOOKUP($S$50,'TAR FIN'!$A$1:$O$86,15,0)),0,VLOOKUP($S$50,'TAR FIN'!$A$1:$O$86,15,0))</f>
        <v>31.06</v>
      </c>
      <c r="W50" s="6">
        <f>IF(ISERROR(VLOOKUP($T$50,'TAR FIN'!$A$1:$O$86,15,0)),0,VLOOKUP($T$50,'TAR FIN'!$A$1:$O$86,15,0))</f>
        <v>0</v>
      </c>
      <c r="X50" s="6">
        <f>IF(ISERROR(VLOOKUP($U$50,'TAR FIN'!$A$1:$O$86,15,0)),0,VLOOKUP($U$50,'TAR FIN'!$A$1:$O$86,15,0))</f>
        <v>0</v>
      </c>
      <c r="Y50" s="6">
        <f ca="1">('TUSD BE'!$AM$10+'TUSD BF'!$AM$10+'TUSD CVA'!$AM$10)*1</f>
        <v>37.6958879256484</v>
      </c>
      <c r="Z50" s="6"/>
      <c r="AA50" s="6"/>
      <c r="AB50" s="6">
        <f>$K$50*$V$50</f>
        <v>5062.78</v>
      </c>
      <c r="AC50" s="6">
        <f>$M$50*$W$50</f>
        <v>0</v>
      </c>
      <c r="AD50" s="6">
        <f>$O$50*$X$50</f>
        <v>0</v>
      </c>
      <c r="AE50" s="6">
        <f ca="1">$K$50*$Y$50</f>
        <v>6144.4297318806894</v>
      </c>
      <c r="AF50" s="6">
        <f>$M$50*$Z$50</f>
        <v>0</v>
      </c>
      <c r="AG50" s="6">
        <f>$O$50*$AA$50</f>
        <v>0</v>
      </c>
    </row>
    <row r="51" spans="1:33" ht="11.25" customHeight="1" x14ac:dyDescent="0.25">
      <c r="A51" s="4" t="s">
        <v>21</v>
      </c>
      <c r="B51" s="4" t="s">
        <v>39</v>
      </c>
      <c r="C51" s="4" t="s">
        <v>40</v>
      </c>
      <c r="D51" s="4" t="s">
        <v>49</v>
      </c>
      <c r="E51" s="4" t="s">
        <v>25</v>
      </c>
      <c r="F51" s="4" t="s">
        <v>25</v>
      </c>
      <c r="G51" s="4" t="s">
        <v>25</v>
      </c>
      <c r="H51" s="4" t="s">
        <v>25</v>
      </c>
      <c r="I51" s="5">
        <v>44593</v>
      </c>
      <c r="J51" s="6">
        <v>500</v>
      </c>
      <c r="K51" s="6">
        <v>500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4" t="s">
        <v>26</v>
      </c>
      <c r="R51" s="4">
        <v>0</v>
      </c>
      <c r="S51" s="6">
        <v>3</v>
      </c>
      <c r="T51" s="6">
        <v>0</v>
      </c>
      <c r="U51" s="6">
        <v>0</v>
      </c>
      <c r="V51" s="6">
        <f>IF(ISERROR(VLOOKUP($S$51,'TAR FIN'!$A$1:$O$86,15,0)),0,VLOOKUP($S$51,'TAR FIN'!$A$1:$O$86,15,0))</f>
        <v>31.06</v>
      </c>
      <c r="W51" s="6">
        <f>IF(ISERROR(VLOOKUP($T$51,'TAR FIN'!$A$1:$O$86,15,0)),0,VLOOKUP($T$51,'TAR FIN'!$A$1:$O$86,15,0))</f>
        <v>0</v>
      </c>
      <c r="X51" s="6">
        <f>IF(ISERROR(VLOOKUP($U$51,'TAR FIN'!$A$1:$O$86,15,0)),0,VLOOKUP($U$51,'TAR FIN'!$A$1:$O$86,15,0))</f>
        <v>0</v>
      </c>
      <c r="Y51" s="6">
        <f ca="1">('TUSD BE'!$AM$10+'TUSD BF'!$AM$10+'TUSD CVA'!$AM$10)*1</f>
        <v>37.6958879256484</v>
      </c>
      <c r="Z51" s="6"/>
      <c r="AA51" s="6"/>
      <c r="AB51" s="6">
        <f>$K$51*$V$51</f>
        <v>15530</v>
      </c>
      <c r="AC51" s="6">
        <f>$M$51*$W$51</f>
        <v>0</v>
      </c>
      <c r="AD51" s="6">
        <f>$O$51*$X$51</f>
        <v>0</v>
      </c>
      <c r="AE51" s="6">
        <f ca="1">$K$51*$Y$51</f>
        <v>18847.9439628242</v>
      </c>
      <c r="AF51" s="6">
        <f>$M$51*$Z$51</f>
        <v>0</v>
      </c>
      <c r="AG51" s="6">
        <f>$O$51*$AA$51</f>
        <v>0</v>
      </c>
    </row>
    <row r="52" spans="1:33" ht="11.25" customHeight="1" x14ac:dyDescent="0.25">
      <c r="A52" s="4" t="s">
        <v>21</v>
      </c>
      <c r="B52" s="4" t="s">
        <v>39</v>
      </c>
      <c r="C52" s="4" t="s">
        <v>40</v>
      </c>
      <c r="D52" s="4" t="s">
        <v>49</v>
      </c>
      <c r="E52" s="4" t="s">
        <v>25</v>
      </c>
      <c r="F52" s="4" t="s">
        <v>25</v>
      </c>
      <c r="G52" s="4" t="s">
        <v>25</v>
      </c>
      <c r="H52" s="4" t="s">
        <v>25</v>
      </c>
      <c r="I52" s="5">
        <v>44621</v>
      </c>
      <c r="J52" s="6">
        <v>500</v>
      </c>
      <c r="K52" s="6">
        <v>500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4" t="s">
        <v>26</v>
      </c>
      <c r="R52" s="4">
        <v>0</v>
      </c>
      <c r="S52" s="6">
        <v>3</v>
      </c>
      <c r="T52" s="6">
        <v>0</v>
      </c>
      <c r="U52" s="6">
        <v>0</v>
      </c>
      <c r="V52" s="6">
        <f>IF(ISERROR(VLOOKUP($S$52,'TAR FIN'!$A$1:$O$86,15,0)),0,VLOOKUP($S$52,'TAR FIN'!$A$1:$O$86,15,0))</f>
        <v>31.06</v>
      </c>
      <c r="W52" s="6">
        <f>IF(ISERROR(VLOOKUP($T$52,'TAR FIN'!$A$1:$O$86,15,0)),0,VLOOKUP($T$52,'TAR FIN'!$A$1:$O$86,15,0))</f>
        <v>0</v>
      </c>
      <c r="X52" s="6">
        <f>IF(ISERROR(VLOOKUP($U$52,'TAR FIN'!$A$1:$O$86,15,0)),0,VLOOKUP($U$52,'TAR FIN'!$A$1:$O$86,15,0))</f>
        <v>0</v>
      </c>
      <c r="Y52" s="6">
        <f ca="1">('TUSD BE'!$AM$10+'TUSD BF'!$AM$10+'TUSD CVA'!$AM$10)*1</f>
        <v>37.6958879256484</v>
      </c>
      <c r="Z52" s="6"/>
      <c r="AA52" s="6"/>
      <c r="AB52" s="6">
        <f>$K$52*$V$52</f>
        <v>15530</v>
      </c>
      <c r="AC52" s="6">
        <f>$M$52*$W$52</f>
        <v>0</v>
      </c>
      <c r="AD52" s="6">
        <f>$O$52*$X$52</f>
        <v>0</v>
      </c>
      <c r="AE52" s="6">
        <f ca="1">$K$52*$Y$52</f>
        <v>18847.9439628242</v>
      </c>
      <c r="AF52" s="6">
        <f>$M$52*$Z$52</f>
        <v>0</v>
      </c>
      <c r="AG52" s="6">
        <f>$O$52*$AA$52</f>
        <v>0</v>
      </c>
    </row>
    <row r="53" spans="1:33" ht="11.25" customHeight="1" x14ac:dyDescent="0.25">
      <c r="A53" s="4" t="s">
        <v>21</v>
      </c>
      <c r="B53" s="4" t="s">
        <v>39</v>
      </c>
      <c r="C53" s="4" t="s">
        <v>40</v>
      </c>
      <c r="D53" s="4" t="s">
        <v>49</v>
      </c>
      <c r="E53" s="4" t="s">
        <v>25</v>
      </c>
      <c r="F53" s="4" t="s">
        <v>25</v>
      </c>
      <c r="G53" s="4" t="s">
        <v>25</v>
      </c>
      <c r="H53" s="4" t="s">
        <v>25</v>
      </c>
      <c r="I53" s="5">
        <v>44652</v>
      </c>
      <c r="J53" s="6">
        <v>522</v>
      </c>
      <c r="K53" s="6">
        <v>522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4" t="s">
        <v>26</v>
      </c>
      <c r="R53" s="4">
        <v>0</v>
      </c>
      <c r="S53" s="6">
        <v>3</v>
      </c>
      <c r="T53" s="6">
        <v>0</v>
      </c>
      <c r="U53" s="6">
        <v>0</v>
      </c>
      <c r="V53" s="6">
        <f>IF(ISERROR(VLOOKUP($S$53,'TAR FIN'!$A$1:$O$86,15,0)),0,VLOOKUP($S$53,'TAR FIN'!$A$1:$O$86,15,0))</f>
        <v>31.06</v>
      </c>
      <c r="W53" s="6">
        <f>IF(ISERROR(VLOOKUP($T$53,'TAR FIN'!$A$1:$O$86,15,0)),0,VLOOKUP($T$53,'TAR FIN'!$A$1:$O$86,15,0))</f>
        <v>0</v>
      </c>
      <c r="X53" s="6">
        <f>IF(ISERROR(VLOOKUP($U$53,'TAR FIN'!$A$1:$O$86,15,0)),0,VLOOKUP($U$53,'TAR FIN'!$A$1:$O$86,15,0))</f>
        <v>0</v>
      </c>
      <c r="Y53" s="6">
        <f ca="1">('TUSD BE'!$AM$10+'TUSD BF'!$AM$10+'TUSD CVA'!$AM$10)*1</f>
        <v>37.6958879256484</v>
      </c>
      <c r="Z53" s="6"/>
      <c r="AA53" s="6"/>
      <c r="AB53" s="6">
        <f>$K$53*$V$53</f>
        <v>16213.32</v>
      </c>
      <c r="AC53" s="6">
        <f>$M$53*$W$53</f>
        <v>0</v>
      </c>
      <c r="AD53" s="6">
        <f>$O$53*$X$53</f>
        <v>0</v>
      </c>
      <c r="AE53" s="6">
        <f ca="1">$K$53*$Y$53</f>
        <v>19677.253497188463</v>
      </c>
      <c r="AF53" s="6">
        <f>$M$53*$Z$53</f>
        <v>0</v>
      </c>
      <c r="AG53" s="6">
        <f>$O$53*$AA$53</f>
        <v>0</v>
      </c>
    </row>
    <row r="54" spans="1:33" ht="11.25" customHeight="1" x14ac:dyDescent="0.25">
      <c r="A54" s="4" t="s">
        <v>21</v>
      </c>
      <c r="B54" s="4" t="s">
        <v>39</v>
      </c>
      <c r="C54" s="4" t="s">
        <v>40</v>
      </c>
      <c r="D54" s="4" t="s">
        <v>49</v>
      </c>
      <c r="E54" s="4" t="s">
        <v>25</v>
      </c>
      <c r="F54" s="4" t="s">
        <v>25</v>
      </c>
      <c r="G54" s="4" t="s">
        <v>25</v>
      </c>
      <c r="H54" s="4" t="s">
        <v>25</v>
      </c>
      <c r="I54" s="5">
        <v>44682</v>
      </c>
      <c r="J54" s="6">
        <v>521</v>
      </c>
      <c r="K54" s="6">
        <v>521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4" t="s">
        <v>26</v>
      </c>
      <c r="R54" s="4">
        <v>0</v>
      </c>
      <c r="S54" s="6">
        <v>3</v>
      </c>
      <c r="T54" s="6">
        <v>0</v>
      </c>
      <c r="U54" s="6">
        <v>0</v>
      </c>
      <c r="V54" s="6">
        <f>IF(ISERROR(VLOOKUP($S$54,'TAR FIN'!$A$1:$O$86,15,0)),0,VLOOKUP($S$54,'TAR FIN'!$A$1:$O$86,15,0))</f>
        <v>31.06</v>
      </c>
      <c r="W54" s="6">
        <f>IF(ISERROR(VLOOKUP($T$54,'TAR FIN'!$A$1:$O$86,15,0)),0,VLOOKUP($T$54,'TAR FIN'!$A$1:$O$86,15,0))</f>
        <v>0</v>
      </c>
      <c r="X54" s="6">
        <f>IF(ISERROR(VLOOKUP($U$54,'TAR FIN'!$A$1:$O$86,15,0)),0,VLOOKUP($U$54,'TAR FIN'!$A$1:$O$86,15,0))</f>
        <v>0</v>
      </c>
      <c r="Y54" s="6">
        <f ca="1">('TUSD BE'!$AM$10+'TUSD BF'!$AM$10+'TUSD CVA'!$AM$10)*1</f>
        <v>37.6958879256484</v>
      </c>
      <c r="Z54" s="6"/>
      <c r="AA54" s="6"/>
      <c r="AB54" s="6">
        <f>$K$54*$V$54</f>
        <v>16182.26</v>
      </c>
      <c r="AC54" s="6">
        <f>$M$54*$W$54</f>
        <v>0</v>
      </c>
      <c r="AD54" s="6">
        <f>$O$54*$X$54</f>
        <v>0</v>
      </c>
      <c r="AE54" s="6">
        <f ca="1">$K$54*$Y$54</f>
        <v>19639.557609262818</v>
      </c>
      <c r="AF54" s="6">
        <f>$M$54*$Z$54</f>
        <v>0</v>
      </c>
      <c r="AG54" s="6">
        <f>$O$54*$AA$54</f>
        <v>0</v>
      </c>
    </row>
    <row r="55" spans="1:33" ht="11.25" customHeight="1" x14ac:dyDescent="0.25">
      <c r="A55" s="4" t="s">
        <v>21</v>
      </c>
      <c r="B55" s="4" t="s">
        <v>39</v>
      </c>
      <c r="C55" s="4" t="s">
        <v>40</v>
      </c>
      <c r="D55" s="4" t="s">
        <v>49</v>
      </c>
      <c r="E55" s="4" t="s">
        <v>25</v>
      </c>
      <c r="F55" s="4" t="s">
        <v>25</v>
      </c>
      <c r="G55" s="4" t="s">
        <v>25</v>
      </c>
      <c r="H55" s="4" t="s">
        <v>25</v>
      </c>
      <c r="I55" s="5">
        <v>44713</v>
      </c>
      <c r="J55" s="6">
        <v>521</v>
      </c>
      <c r="K55" s="6">
        <v>521</v>
      </c>
      <c r="L55" s="6">
        <v>0</v>
      </c>
      <c r="M55" s="6">
        <v>0</v>
      </c>
      <c r="N55" s="6">
        <v>0</v>
      </c>
      <c r="O55" s="6">
        <v>0</v>
      </c>
      <c r="P55" s="6">
        <v>1</v>
      </c>
      <c r="Q55" s="4" t="s">
        <v>26</v>
      </c>
      <c r="R55" s="4">
        <v>0</v>
      </c>
      <c r="S55" s="6">
        <v>3</v>
      </c>
      <c r="T55" s="6">
        <v>0</v>
      </c>
      <c r="U55" s="6">
        <v>0</v>
      </c>
      <c r="V55" s="6">
        <f>IF(ISERROR(VLOOKUP($S$55,'TAR FIN'!$A$1:$O$86,15,0)),0,VLOOKUP($S$55,'TAR FIN'!$A$1:$O$86,15,0))</f>
        <v>31.06</v>
      </c>
      <c r="W55" s="6">
        <f>IF(ISERROR(VLOOKUP($T$55,'TAR FIN'!$A$1:$O$86,15,0)),0,VLOOKUP($T$55,'TAR FIN'!$A$1:$O$86,15,0))</f>
        <v>0</v>
      </c>
      <c r="X55" s="6">
        <f>IF(ISERROR(VLOOKUP($U$55,'TAR FIN'!$A$1:$O$86,15,0)),0,VLOOKUP($U$55,'TAR FIN'!$A$1:$O$86,15,0))</f>
        <v>0</v>
      </c>
      <c r="Y55" s="6">
        <f ca="1">('TUSD BE'!$AM$10+'TUSD BF'!$AM$10+'TUSD CVA'!$AM$10)*1</f>
        <v>37.6958879256484</v>
      </c>
      <c r="Z55" s="6"/>
      <c r="AA55" s="6"/>
      <c r="AB55" s="6">
        <f>$K$55*$V$55</f>
        <v>16182.26</v>
      </c>
      <c r="AC55" s="6">
        <f>$M$55*$W$55</f>
        <v>0</v>
      </c>
      <c r="AD55" s="6">
        <f>$O$55*$X$55</f>
        <v>0</v>
      </c>
      <c r="AE55" s="6">
        <f ca="1">$K$55*$Y$55</f>
        <v>19639.557609262818</v>
      </c>
      <c r="AF55" s="6">
        <f>$M$55*$Z$55</f>
        <v>0</v>
      </c>
      <c r="AG55" s="6">
        <f>$O$55*$AA$55</f>
        <v>0</v>
      </c>
    </row>
    <row r="56" spans="1:33" ht="11.25" customHeight="1" x14ac:dyDescent="0.25">
      <c r="A56" s="4" t="s">
        <v>21</v>
      </c>
      <c r="B56" s="4" t="s">
        <v>39</v>
      </c>
      <c r="C56" s="4" t="s">
        <v>40</v>
      </c>
      <c r="D56" s="4" t="s">
        <v>49</v>
      </c>
      <c r="E56" s="4" t="s">
        <v>25</v>
      </c>
      <c r="F56" s="4" t="s">
        <v>25</v>
      </c>
      <c r="G56" s="4" t="s">
        <v>25</v>
      </c>
      <c r="H56" s="4" t="s">
        <v>34</v>
      </c>
      <c r="I56" s="5">
        <v>44470</v>
      </c>
      <c r="J56" s="6">
        <v>0</v>
      </c>
      <c r="K56" s="6">
        <v>0</v>
      </c>
      <c r="L56" s="6">
        <v>1.06</v>
      </c>
      <c r="M56" s="6">
        <v>1.06</v>
      </c>
      <c r="N56" s="6">
        <v>1.06</v>
      </c>
      <c r="O56" s="6">
        <v>1.06</v>
      </c>
      <c r="P56" s="6">
        <v>0</v>
      </c>
      <c r="Q56" s="4" t="s">
        <v>26</v>
      </c>
      <c r="R56" s="4">
        <v>0</v>
      </c>
      <c r="S56" s="6">
        <v>0</v>
      </c>
      <c r="T56" s="6">
        <v>23</v>
      </c>
      <c r="U56" s="6">
        <v>41</v>
      </c>
      <c r="V56" s="6">
        <f>IF(ISERROR(VLOOKUP($S$56,'TAR FIN'!$A$1:$O$86,15,0)),0,VLOOKUP($S$56,'TAR FIN'!$A$1:$O$86,15,0))</f>
        <v>0</v>
      </c>
      <c r="W56" s="6">
        <f>IF(ISERROR(VLOOKUP($T$56,'TAR FIN'!$A$1:$O$86,15,0)),0,VLOOKUP($T$56,'TAR FIN'!$A$1:$O$86,15,0))</f>
        <v>1634.54</v>
      </c>
      <c r="X56" s="6">
        <f>IF(ISERROR(VLOOKUP($U$56,'TAR FIN'!$A$1:$O$86,15,0)),0,VLOOKUP($U$56,'TAR FIN'!$A$1:$O$86,15,0))</f>
        <v>131.87</v>
      </c>
      <c r="Y56" s="6"/>
      <c r="Z56" s="6">
        <f ca="1">('TUSD BE'!$AM$11+'TUSD BF'!$AM$11+'TUSD CVA'!$AM$11)*1</f>
        <v>1992.4981055215353</v>
      </c>
      <c r="AA56" s="6">
        <f>('TE BE'!$AB$5+'TE BF'!$AB$5+'TE CVA'!$AB$5)*1</f>
        <v>116.42847759142431</v>
      </c>
      <c r="AB56" s="6">
        <f>$K$56*$V$56</f>
        <v>0</v>
      </c>
      <c r="AC56" s="6">
        <f>$M$56*$W$56</f>
        <v>1732.6124</v>
      </c>
      <c r="AD56" s="6">
        <f>$O$56*$X$56</f>
        <v>139.78220000000002</v>
      </c>
      <c r="AE56" s="6">
        <f>$K$56*$Y$56</f>
        <v>0</v>
      </c>
      <c r="AF56" s="6">
        <f ca="1">$M$56*$Z$56</f>
        <v>2112.0479918528276</v>
      </c>
      <c r="AG56" s="6">
        <f>$O$56*$AA$56</f>
        <v>123.41418624690978</v>
      </c>
    </row>
    <row r="57" spans="1:33" ht="11.25" customHeight="1" x14ac:dyDescent="0.25">
      <c r="A57" s="4" t="s">
        <v>21</v>
      </c>
      <c r="B57" s="4" t="s">
        <v>39</v>
      </c>
      <c r="C57" s="4" t="s">
        <v>40</v>
      </c>
      <c r="D57" s="4" t="s">
        <v>49</v>
      </c>
      <c r="E57" s="4" t="s">
        <v>25</v>
      </c>
      <c r="F57" s="4" t="s">
        <v>25</v>
      </c>
      <c r="G57" s="4" t="s">
        <v>25</v>
      </c>
      <c r="H57" s="4" t="s">
        <v>34</v>
      </c>
      <c r="I57" s="5">
        <v>44501</v>
      </c>
      <c r="J57" s="6">
        <v>0</v>
      </c>
      <c r="K57" s="6">
        <v>0</v>
      </c>
      <c r="L57" s="6">
        <v>3.544</v>
      </c>
      <c r="M57" s="6">
        <v>3.544</v>
      </c>
      <c r="N57" s="6">
        <v>3.544</v>
      </c>
      <c r="O57" s="6">
        <v>3.544</v>
      </c>
      <c r="P57" s="6">
        <v>0</v>
      </c>
      <c r="Q57" s="4" t="s">
        <v>26</v>
      </c>
      <c r="R57" s="4">
        <v>0</v>
      </c>
      <c r="S57" s="6">
        <v>0</v>
      </c>
      <c r="T57" s="6">
        <v>23</v>
      </c>
      <c r="U57" s="6">
        <v>41</v>
      </c>
      <c r="V57" s="6">
        <f>IF(ISERROR(VLOOKUP($S$57,'TAR FIN'!$A$1:$O$86,15,0)),0,VLOOKUP($S$57,'TAR FIN'!$A$1:$O$86,15,0))</f>
        <v>0</v>
      </c>
      <c r="W57" s="6">
        <f>IF(ISERROR(VLOOKUP($T$57,'TAR FIN'!$A$1:$O$86,15,0)),0,VLOOKUP($T$57,'TAR FIN'!$A$1:$O$86,15,0))</f>
        <v>1634.54</v>
      </c>
      <c r="X57" s="6">
        <f>IF(ISERROR(VLOOKUP($U$57,'TAR FIN'!$A$1:$O$86,15,0)),0,VLOOKUP($U$57,'TAR FIN'!$A$1:$O$86,15,0))</f>
        <v>131.87</v>
      </c>
      <c r="Y57" s="6"/>
      <c r="Z57" s="6">
        <f ca="1">('TUSD BE'!$AM$11+'TUSD BF'!$AM$11+'TUSD CVA'!$AM$11)*1</f>
        <v>1992.4981055215353</v>
      </c>
      <c r="AA57" s="6">
        <f>('TE BE'!$AB$5+'TE BF'!$AB$5+'TE CVA'!$AB$5)*1</f>
        <v>116.42847759142431</v>
      </c>
      <c r="AB57" s="6">
        <f>$K$57*$V$57</f>
        <v>0</v>
      </c>
      <c r="AC57" s="6">
        <f>$M$57*$W$57</f>
        <v>5792.8097600000001</v>
      </c>
      <c r="AD57" s="6">
        <f>$O$57*$X$57</f>
        <v>467.34728000000001</v>
      </c>
      <c r="AE57" s="6">
        <f>$K$57*$Y$57</f>
        <v>0</v>
      </c>
      <c r="AF57" s="6">
        <f ca="1">$M$57*$Z$57</f>
        <v>7061.4132859683214</v>
      </c>
      <c r="AG57" s="6">
        <f>$O$57*$AA$57</f>
        <v>412.62252458400775</v>
      </c>
    </row>
    <row r="58" spans="1:33" ht="11.25" customHeight="1" x14ac:dyDescent="0.25">
      <c r="A58" s="4" t="s">
        <v>21</v>
      </c>
      <c r="B58" s="4" t="s">
        <v>39</v>
      </c>
      <c r="C58" s="4" t="s">
        <v>40</v>
      </c>
      <c r="D58" s="4" t="s">
        <v>49</v>
      </c>
      <c r="E58" s="4" t="s">
        <v>25</v>
      </c>
      <c r="F58" s="4" t="s">
        <v>25</v>
      </c>
      <c r="G58" s="4" t="s">
        <v>25</v>
      </c>
      <c r="H58" s="4" t="s">
        <v>34</v>
      </c>
      <c r="I58" s="5">
        <v>44531</v>
      </c>
      <c r="J58" s="6">
        <v>0</v>
      </c>
      <c r="K58" s="6">
        <v>0</v>
      </c>
      <c r="L58" s="6">
        <v>4.0910000000000002</v>
      </c>
      <c r="M58" s="6">
        <v>4.0910000000000002</v>
      </c>
      <c r="N58" s="6">
        <v>4.0910000000000002</v>
      </c>
      <c r="O58" s="6">
        <v>4.0910000000000002</v>
      </c>
      <c r="P58" s="6">
        <v>0</v>
      </c>
      <c r="Q58" s="4" t="s">
        <v>26</v>
      </c>
      <c r="R58" s="4">
        <v>0</v>
      </c>
      <c r="S58" s="6">
        <v>0</v>
      </c>
      <c r="T58" s="6">
        <v>23</v>
      </c>
      <c r="U58" s="6">
        <v>41</v>
      </c>
      <c r="V58" s="6">
        <f>IF(ISERROR(VLOOKUP($S$58,'TAR FIN'!$A$1:$O$86,15,0)),0,VLOOKUP($S$58,'TAR FIN'!$A$1:$O$86,15,0))</f>
        <v>0</v>
      </c>
      <c r="W58" s="6">
        <f>IF(ISERROR(VLOOKUP($T$58,'TAR FIN'!$A$1:$O$86,15,0)),0,VLOOKUP($T$58,'TAR FIN'!$A$1:$O$86,15,0))</f>
        <v>1634.54</v>
      </c>
      <c r="X58" s="6">
        <f>IF(ISERROR(VLOOKUP($U$58,'TAR FIN'!$A$1:$O$86,15,0)),0,VLOOKUP($U$58,'TAR FIN'!$A$1:$O$86,15,0))</f>
        <v>131.87</v>
      </c>
      <c r="Y58" s="6"/>
      <c r="Z58" s="6">
        <f ca="1">('TUSD BE'!$AM$11+'TUSD BF'!$AM$11+'TUSD CVA'!$AM$11)*1</f>
        <v>1992.4981055215353</v>
      </c>
      <c r="AA58" s="6">
        <f>('TE BE'!$AB$5+'TE BF'!$AB$5+'TE CVA'!$AB$5)*1</f>
        <v>116.42847759142431</v>
      </c>
      <c r="AB58" s="6">
        <f>$K$58*$V$58</f>
        <v>0</v>
      </c>
      <c r="AC58" s="6">
        <f>$M$58*$W$58</f>
        <v>6686.9031400000003</v>
      </c>
      <c r="AD58" s="6">
        <f>$O$58*$X$58</f>
        <v>539.48017000000004</v>
      </c>
      <c r="AE58" s="6">
        <f>$K$58*$Y$58</f>
        <v>0</v>
      </c>
      <c r="AF58" s="6">
        <f ca="1">$M$58*$Z$58</f>
        <v>8151.3097496886012</v>
      </c>
      <c r="AG58" s="6">
        <f>$O$58*$AA$58</f>
        <v>476.30890182651689</v>
      </c>
    </row>
    <row r="59" spans="1:33" ht="11.25" customHeight="1" x14ac:dyDescent="0.25">
      <c r="A59" s="4" t="s">
        <v>21</v>
      </c>
      <c r="B59" s="4" t="s">
        <v>39</v>
      </c>
      <c r="C59" s="4" t="s">
        <v>40</v>
      </c>
      <c r="D59" s="4" t="s">
        <v>49</v>
      </c>
      <c r="E59" s="4" t="s">
        <v>25</v>
      </c>
      <c r="F59" s="4" t="s">
        <v>25</v>
      </c>
      <c r="G59" s="4" t="s">
        <v>25</v>
      </c>
      <c r="H59" s="4" t="s">
        <v>34</v>
      </c>
      <c r="I59" s="5">
        <v>44562</v>
      </c>
      <c r="J59" s="6">
        <v>0</v>
      </c>
      <c r="K59" s="6">
        <v>0</v>
      </c>
      <c r="L59" s="6">
        <v>3.3220000000000001</v>
      </c>
      <c r="M59" s="6">
        <v>3.3220000000000001</v>
      </c>
      <c r="N59" s="6">
        <v>3.3220000000000001</v>
      </c>
      <c r="O59" s="6">
        <v>3.3220000000000001</v>
      </c>
      <c r="P59" s="6">
        <v>0</v>
      </c>
      <c r="Q59" s="4" t="s">
        <v>26</v>
      </c>
      <c r="R59" s="4">
        <v>0</v>
      </c>
      <c r="S59" s="6">
        <v>0</v>
      </c>
      <c r="T59" s="6">
        <v>23</v>
      </c>
      <c r="U59" s="6">
        <v>41</v>
      </c>
      <c r="V59" s="6">
        <f>IF(ISERROR(VLOOKUP($S$59,'TAR FIN'!$A$1:$O$86,15,0)),0,VLOOKUP($S$59,'TAR FIN'!$A$1:$O$86,15,0))</f>
        <v>0</v>
      </c>
      <c r="W59" s="6">
        <f>IF(ISERROR(VLOOKUP($T$59,'TAR FIN'!$A$1:$O$86,15,0)),0,VLOOKUP($T$59,'TAR FIN'!$A$1:$O$86,15,0))</f>
        <v>1634.54</v>
      </c>
      <c r="X59" s="6">
        <f>IF(ISERROR(VLOOKUP($U$59,'TAR FIN'!$A$1:$O$86,15,0)),0,VLOOKUP($U$59,'TAR FIN'!$A$1:$O$86,15,0))</f>
        <v>131.87</v>
      </c>
      <c r="Y59" s="6"/>
      <c r="Z59" s="6">
        <f ca="1">('TUSD BE'!$AM$11+'TUSD BF'!$AM$11+'TUSD CVA'!$AM$11)*1</f>
        <v>1992.4981055215353</v>
      </c>
      <c r="AA59" s="6">
        <f>('TE BE'!$AB$5+'TE BF'!$AB$5+'TE CVA'!$AB$5)*1</f>
        <v>116.42847759142431</v>
      </c>
      <c r="AB59" s="6">
        <f>$K$59*$V$59</f>
        <v>0</v>
      </c>
      <c r="AC59" s="6">
        <f>$M$59*$W$59</f>
        <v>5429.9418800000003</v>
      </c>
      <c r="AD59" s="6">
        <f>$O$59*$X$59</f>
        <v>438.07214000000005</v>
      </c>
      <c r="AE59" s="6">
        <f>$K$59*$Y$59</f>
        <v>0</v>
      </c>
      <c r="AF59" s="6">
        <f ca="1">$M$59*$Z$59</f>
        <v>6619.0787065425402</v>
      </c>
      <c r="AG59" s="6">
        <f>$O$59*$AA$59</f>
        <v>386.77540255871156</v>
      </c>
    </row>
    <row r="60" spans="1:33" ht="11.25" customHeight="1" x14ac:dyDescent="0.25">
      <c r="A60" s="4" t="s">
        <v>21</v>
      </c>
      <c r="B60" s="4" t="s">
        <v>39</v>
      </c>
      <c r="C60" s="4" t="s">
        <v>40</v>
      </c>
      <c r="D60" s="4" t="s">
        <v>49</v>
      </c>
      <c r="E60" s="4" t="s">
        <v>25</v>
      </c>
      <c r="F60" s="4" t="s">
        <v>25</v>
      </c>
      <c r="G60" s="4" t="s">
        <v>25</v>
      </c>
      <c r="H60" s="4" t="s">
        <v>34</v>
      </c>
      <c r="I60" s="5">
        <v>44593</v>
      </c>
      <c r="J60" s="6">
        <v>0</v>
      </c>
      <c r="K60" s="6">
        <v>0</v>
      </c>
      <c r="L60" s="6">
        <v>2.738</v>
      </c>
      <c r="M60" s="6">
        <v>2.738</v>
      </c>
      <c r="N60" s="6">
        <v>2.738</v>
      </c>
      <c r="O60" s="6">
        <v>2.738</v>
      </c>
      <c r="P60" s="6">
        <v>0</v>
      </c>
      <c r="Q60" s="4" t="s">
        <v>26</v>
      </c>
      <c r="R60" s="4">
        <v>0</v>
      </c>
      <c r="S60" s="6">
        <v>0</v>
      </c>
      <c r="T60" s="6">
        <v>23</v>
      </c>
      <c r="U60" s="6">
        <v>41</v>
      </c>
      <c r="V60" s="6">
        <f>IF(ISERROR(VLOOKUP($S$60,'TAR FIN'!$A$1:$O$86,15,0)),0,VLOOKUP($S$60,'TAR FIN'!$A$1:$O$86,15,0))</f>
        <v>0</v>
      </c>
      <c r="W60" s="6">
        <f>IF(ISERROR(VLOOKUP($T$60,'TAR FIN'!$A$1:$O$86,15,0)),0,VLOOKUP($T$60,'TAR FIN'!$A$1:$O$86,15,0))</f>
        <v>1634.54</v>
      </c>
      <c r="X60" s="6">
        <f>IF(ISERROR(VLOOKUP($U$60,'TAR FIN'!$A$1:$O$86,15,0)),0,VLOOKUP($U$60,'TAR FIN'!$A$1:$O$86,15,0))</f>
        <v>131.87</v>
      </c>
      <c r="Y60" s="6"/>
      <c r="Z60" s="6">
        <f ca="1">('TUSD BE'!$AM$11+'TUSD BF'!$AM$11+'TUSD CVA'!$AM$11)*1</f>
        <v>1992.4981055215353</v>
      </c>
      <c r="AA60" s="6">
        <f>('TE BE'!$AB$5+'TE BF'!$AB$5+'TE CVA'!$AB$5)*1</f>
        <v>116.42847759142431</v>
      </c>
      <c r="AB60" s="6">
        <f>$K$60*$V$60</f>
        <v>0</v>
      </c>
      <c r="AC60" s="6">
        <f>$M$60*$W$60</f>
        <v>4475.3705199999995</v>
      </c>
      <c r="AD60" s="6">
        <f>$O$60*$X$60</f>
        <v>361.06006000000002</v>
      </c>
      <c r="AE60" s="6">
        <f>$K$60*$Y$60</f>
        <v>0</v>
      </c>
      <c r="AF60" s="6">
        <f ca="1">$M$60*$Z$60</f>
        <v>5455.459812917964</v>
      </c>
      <c r="AG60" s="6">
        <f>$O$60*$AA$60</f>
        <v>318.78117164531977</v>
      </c>
    </row>
    <row r="61" spans="1:33" ht="11.25" customHeight="1" x14ac:dyDescent="0.25">
      <c r="A61" s="4" t="s">
        <v>21</v>
      </c>
      <c r="B61" s="4" t="s">
        <v>39</v>
      </c>
      <c r="C61" s="4" t="s">
        <v>40</v>
      </c>
      <c r="D61" s="4" t="s">
        <v>49</v>
      </c>
      <c r="E61" s="4" t="s">
        <v>25</v>
      </c>
      <c r="F61" s="4" t="s">
        <v>25</v>
      </c>
      <c r="G61" s="4" t="s">
        <v>25</v>
      </c>
      <c r="H61" s="4" t="s">
        <v>34</v>
      </c>
      <c r="I61" s="5">
        <v>44621</v>
      </c>
      <c r="J61" s="6">
        <v>0</v>
      </c>
      <c r="K61" s="6">
        <v>0</v>
      </c>
      <c r="L61" s="6">
        <v>7.2510000000000003</v>
      </c>
      <c r="M61" s="6">
        <v>7.2510000000000003</v>
      </c>
      <c r="N61" s="6">
        <v>7.2510000000000003</v>
      </c>
      <c r="O61" s="6">
        <v>7.2510000000000003</v>
      </c>
      <c r="P61" s="6">
        <v>0</v>
      </c>
      <c r="Q61" s="4" t="s">
        <v>26</v>
      </c>
      <c r="R61" s="4">
        <v>0</v>
      </c>
      <c r="S61" s="6">
        <v>0</v>
      </c>
      <c r="T61" s="6">
        <v>23</v>
      </c>
      <c r="U61" s="6">
        <v>41</v>
      </c>
      <c r="V61" s="6">
        <f>IF(ISERROR(VLOOKUP($S$61,'TAR FIN'!$A$1:$O$86,15,0)),0,VLOOKUP($S$61,'TAR FIN'!$A$1:$O$86,15,0))</f>
        <v>0</v>
      </c>
      <c r="W61" s="6">
        <f>IF(ISERROR(VLOOKUP($T$61,'TAR FIN'!$A$1:$O$86,15,0)),0,VLOOKUP($T$61,'TAR FIN'!$A$1:$O$86,15,0))</f>
        <v>1634.54</v>
      </c>
      <c r="X61" s="6">
        <f>IF(ISERROR(VLOOKUP($U$61,'TAR FIN'!$A$1:$O$86,15,0)),0,VLOOKUP($U$61,'TAR FIN'!$A$1:$O$86,15,0))</f>
        <v>131.87</v>
      </c>
      <c r="Y61" s="6"/>
      <c r="Z61" s="6">
        <f ca="1">('TUSD BE'!$AM$11+'TUSD BF'!$AM$11+'TUSD CVA'!$AM$11)*1</f>
        <v>1992.4981055215353</v>
      </c>
      <c r="AA61" s="6">
        <f>('TE BE'!$AB$5+'TE BF'!$AB$5+'TE CVA'!$AB$5)*1</f>
        <v>116.42847759142431</v>
      </c>
      <c r="AB61" s="6">
        <f>$K$61*$V$61</f>
        <v>0</v>
      </c>
      <c r="AC61" s="6">
        <f>$M$61*$W$61</f>
        <v>11852.04954</v>
      </c>
      <c r="AD61" s="6">
        <f>$O$61*$X$61</f>
        <v>956.18937000000005</v>
      </c>
      <c r="AE61" s="6">
        <f>$K$61*$Y$61</f>
        <v>0</v>
      </c>
      <c r="AF61" s="6">
        <f ca="1">$M$61*$Z$61</f>
        <v>14447.603763136653</v>
      </c>
      <c r="AG61" s="6">
        <f>$O$61*$AA$61</f>
        <v>844.22289101541776</v>
      </c>
    </row>
    <row r="62" spans="1:33" ht="11.25" customHeight="1" x14ac:dyDescent="0.25">
      <c r="A62" s="4" t="s">
        <v>21</v>
      </c>
      <c r="B62" s="4" t="s">
        <v>39</v>
      </c>
      <c r="C62" s="4" t="s">
        <v>40</v>
      </c>
      <c r="D62" s="4" t="s">
        <v>49</v>
      </c>
      <c r="E62" s="4" t="s">
        <v>25</v>
      </c>
      <c r="F62" s="4" t="s">
        <v>25</v>
      </c>
      <c r="G62" s="4" t="s">
        <v>25</v>
      </c>
      <c r="H62" s="4" t="s">
        <v>34</v>
      </c>
      <c r="I62" s="5">
        <v>44652</v>
      </c>
      <c r="J62" s="6">
        <v>0</v>
      </c>
      <c r="K62" s="6">
        <v>0</v>
      </c>
      <c r="L62" s="6">
        <v>2.762</v>
      </c>
      <c r="M62" s="6">
        <v>2.762</v>
      </c>
      <c r="N62" s="6">
        <v>2.762</v>
      </c>
      <c r="O62" s="6">
        <v>2.762</v>
      </c>
      <c r="P62" s="6">
        <v>0</v>
      </c>
      <c r="Q62" s="4" t="s">
        <v>26</v>
      </c>
      <c r="R62" s="4">
        <v>0</v>
      </c>
      <c r="S62" s="6">
        <v>0</v>
      </c>
      <c r="T62" s="6">
        <v>23</v>
      </c>
      <c r="U62" s="6">
        <v>41</v>
      </c>
      <c r="V62" s="6">
        <f>IF(ISERROR(VLOOKUP($S$62,'TAR FIN'!$A$1:$O$86,15,0)),0,VLOOKUP($S$62,'TAR FIN'!$A$1:$O$86,15,0))</f>
        <v>0</v>
      </c>
      <c r="W62" s="6">
        <f>IF(ISERROR(VLOOKUP($T$62,'TAR FIN'!$A$1:$O$86,15,0)),0,VLOOKUP($T$62,'TAR FIN'!$A$1:$O$86,15,0))</f>
        <v>1634.54</v>
      </c>
      <c r="X62" s="6">
        <f>IF(ISERROR(VLOOKUP($U$62,'TAR FIN'!$A$1:$O$86,15,0)),0,VLOOKUP($U$62,'TAR FIN'!$A$1:$O$86,15,0))</f>
        <v>131.87</v>
      </c>
      <c r="Y62" s="6"/>
      <c r="Z62" s="6">
        <f ca="1">('TUSD BE'!$AM$11+'TUSD BF'!$AM$11+'TUSD CVA'!$AM$11)*1</f>
        <v>1992.4981055215353</v>
      </c>
      <c r="AA62" s="6">
        <f>('TE BE'!$AB$5+'TE BF'!$AB$5+'TE CVA'!$AB$5)*1</f>
        <v>116.42847759142431</v>
      </c>
      <c r="AB62" s="6">
        <f>$K$62*$V$62</f>
        <v>0</v>
      </c>
      <c r="AC62" s="6">
        <f>$M$62*$W$62</f>
        <v>4514.5994799999999</v>
      </c>
      <c r="AD62" s="6">
        <f>$O$62*$X$62</f>
        <v>364.22494</v>
      </c>
      <c r="AE62" s="6">
        <f>$K$62*$Y$62</f>
        <v>0</v>
      </c>
      <c r="AF62" s="6">
        <f ca="1">$M$62*$Z$62</f>
        <v>5503.2797674504809</v>
      </c>
      <c r="AG62" s="6">
        <f>$O$62*$AA$62</f>
        <v>321.57545510751396</v>
      </c>
    </row>
    <row r="63" spans="1:33" ht="11.25" customHeight="1" x14ac:dyDescent="0.25">
      <c r="A63" s="4" t="s">
        <v>21</v>
      </c>
      <c r="B63" s="4" t="s">
        <v>39</v>
      </c>
      <c r="C63" s="4" t="s">
        <v>40</v>
      </c>
      <c r="D63" s="4" t="s">
        <v>49</v>
      </c>
      <c r="E63" s="4" t="s">
        <v>25</v>
      </c>
      <c r="F63" s="4" t="s">
        <v>25</v>
      </c>
      <c r="G63" s="4" t="s">
        <v>25</v>
      </c>
      <c r="H63" s="4" t="s">
        <v>34</v>
      </c>
      <c r="I63" s="5">
        <v>44682</v>
      </c>
      <c r="J63" s="6">
        <v>0</v>
      </c>
      <c r="K63" s="6">
        <v>0</v>
      </c>
      <c r="L63" s="6">
        <v>1.4730000000000001</v>
      </c>
      <c r="M63" s="6">
        <v>1.4730000000000001</v>
      </c>
      <c r="N63" s="6">
        <v>1.4730000000000001</v>
      </c>
      <c r="O63" s="6">
        <v>1.4730000000000001</v>
      </c>
      <c r="P63" s="6">
        <v>0</v>
      </c>
      <c r="Q63" s="4" t="s">
        <v>26</v>
      </c>
      <c r="R63" s="4">
        <v>0</v>
      </c>
      <c r="S63" s="6">
        <v>0</v>
      </c>
      <c r="T63" s="6">
        <v>23</v>
      </c>
      <c r="U63" s="6">
        <v>41</v>
      </c>
      <c r="V63" s="6">
        <f>IF(ISERROR(VLOOKUP($S$63,'TAR FIN'!$A$1:$O$86,15,0)),0,VLOOKUP($S$63,'TAR FIN'!$A$1:$O$86,15,0))</f>
        <v>0</v>
      </c>
      <c r="W63" s="6">
        <f>IF(ISERROR(VLOOKUP($T$63,'TAR FIN'!$A$1:$O$86,15,0)),0,VLOOKUP($T$63,'TAR FIN'!$A$1:$O$86,15,0))</f>
        <v>1634.54</v>
      </c>
      <c r="X63" s="6">
        <f>IF(ISERROR(VLOOKUP($U$63,'TAR FIN'!$A$1:$O$86,15,0)),0,VLOOKUP($U$63,'TAR FIN'!$A$1:$O$86,15,0))</f>
        <v>131.87</v>
      </c>
      <c r="Y63" s="6"/>
      <c r="Z63" s="6">
        <f ca="1">('TUSD BE'!$AM$11+'TUSD BF'!$AM$11+'TUSD CVA'!$AM$11)*1</f>
        <v>1992.4981055215353</v>
      </c>
      <c r="AA63" s="6">
        <f>('TE BE'!$AB$5+'TE BF'!$AB$5+'TE CVA'!$AB$5)*1</f>
        <v>116.42847759142431</v>
      </c>
      <c r="AB63" s="6">
        <f>$K$63*$V$63</f>
        <v>0</v>
      </c>
      <c r="AC63" s="6">
        <f>$M$63*$W$63</f>
        <v>2407.67742</v>
      </c>
      <c r="AD63" s="6">
        <f>$O$63*$X$63</f>
        <v>194.24451000000002</v>
      </c>
      <c r="AE63" s="6">
        <f>$K$63*$Y$63</f>
        <v>0</v>
      </c>
      <c r="AF63" s="6">
        <f ca="1">$M$63*$Z$63</f>
        <v>2934.9497094332219</v>
      </c>
      <c r="AG63" s="6">
        <f>$O$63*$AA$63</f>
        <v>171.49914749216802</v>
      </c>
    </row>
    <row r="64" spans="1:33" ht="11.25" customHeight="1" x14ac:dyDescent="0.25">
      <c r="A64" s="4" t="s">
        <v>21</v>
      </c>
      <c r="B64" s="4" t="s">
        <v>39</v>
      </c>
      <c r="C64" s="4" t="s">
        <v>40</v>
      </c>
      <c r="D64" s="4" t="s">
        <v>49</v>
      </c>
      <c r="E64" s="4" t="s">
        <v>25</v>
      </c>
      <c r="F64" s="4" t="s">
        <v>25</v>
      </c>
      <c r="G64" s="4" t="s">
        <v>25</v>
      </c>
      <c r="H64" s="4" t="s">
        <v>34</v>
      </c>
      <c r="I64" s="5">
        <v>44713</v>
      </c>
      <c r="J64" s="6">
        <v>0</v>
      </c>
      <c r="K64" s="6">
        <v>0</v>
      </c>
      <c r="L64" s="6">
        <v>1.4710000000000001</v>
      </c>
      <c r="M64" s="6">
        <v>1.4710000000000001</v>
      </c>
      <c r="N64" s="6">
        <v>1.4710000000000001</v>
      </c>
      <c r="O64" s="6">
        <v>1.4710000000000001</v>
      </c>
      <c r="P64" s="6">
        <v>0</v>
      </c>
      <c r="Q64" s="4" t="s">
        <v>26</v>
      </c>
      <c r="R64" s="4">
        <v>0</v>
      </c>
      <c r="S64" s="6">
        <v>0</v>
      </c>
      <c r="T64" s="6">
        <v>23</v>
      </c>
      <c r="U64" s="6">
        <v>41</v>
      </c>
      <c r="V64" s="6">
        <f>IF(ISERROR(VLOOKUP($S$64,'TAR FIN'!$A$1:$O$86,15,0)),0,VLOOKUP($S$64,'TAR FIN'!$A$1:$O$86,15,0))</f>
        <v>0</v>
      </c>
      <c r="W64" s="6">
        <f>IF(ISERROR(VLOOKUP($T$64,'TAR FIN'!$A$1:$O$86,15,0)),0,VLOOKUP($T$64,'TAR FIN'!$A$1:$O$86,15,0))</f>
        <v>1634.54</v>
      </c>
      <c r="X64" s="6">
        <f>IF(ISERROR(VLOOKUP($U$64,'TAR FIN'!$A$1:$O$86,15,0)),0,VLOOKUP($U$64,'TAR FIN'!$A$1:$O$86,15,0))</f>
        <v>131.87</v>
      </c>
      <c r="Y64" s="6"/>
      <c r="Z64" s="6">
        <f ca="1">('TUSD BE'!$AM$11+'TUSD BF'!$AM$11+'TUSD CVA'!$AM$11)*1</f>
        <v>1992.4981055215353</v>
      </c>
      <c r="AA64" s="6">
        <f>('TE BE'!$AB$5+'TE BF'!$AB$5+'TE CVA'!$AB$5)*1</f>
        <v>116.42847759142431</v>
      </c>
      <c r="AB64" s="6">
        <f>$K$64*$V$64</f>
        <v>0</v>
      </c>
      <c r="AC64" s="6">
        <f>$M$64*$W$64</f>
        <v>2404.40834</v>
      </c>
      <c r="AD64" s="6">
        <f>$O$64*$X$64</f>
        <v>193.98077000000001</v>
      </c>
      <c r="AE64" s="6">
        <f>$K$64*$Y$64</f>
        <v>0</v>
      </c>
      <c r="AF64" s="6">
        <f ca="1">$M$64*$Z$64</f>
        <v>2930.9647132221785</v>
      </c>
      <c r="AG64" s="6">
        <f>$O$64*$AA$64</f>
        <v>171.26629053698517</v>
      </c>
    </row>
    <row r="65" spans="1:33" ht="11.25" customHeight="1" x14ac:dyDescent="0.25">
      <c r="A65" s="4" t="s">
        <v>21</v>
      </c>
      <c r="B65" s="4" t="s">
        <v>22</v>
      </c>
      <c r="C65" s="4" t="s">
        <v>33</v>
      </c>
      <c r="D65" s="4" t="s">
        <v>24</v>
      </c>
      <c r="E65" s="4" t="s">
        <v>24</v>
      </c>
      <c r="F65" s="4" t="s">
        <v>25</v>
      </c>
      <c r="G65" s="4" t="s">
        <v>25</v>
      </c>
      <c r="H65" s="4" t="s">
        <v>35</v>
      </c>
      <c r="I65" s="5">
        <v>44378</v>
      </c>
      <c r="J65" s="6">
        <v>0</v>
      </c>
      <c r="K65" s="6">
        <v>0</v>
      </c>
      <c r="L65" s="6">
        <v>0.20899999999999999</v>
      </c>
      <c r="M65" s="6">
        <v>0.20899999999999999</v>
      </c>
      <c r="N65" s="6">
        <v>0.20899999999999999</v>
      </c>
      <c r="O65" s="6">
        <v>0.20899999999999999</v>
      </c>
      <c r="P65" s="6">
        <v>0</v>
      </c>
      <c r="Q65" s="4" t="s">
        <v>26</v>
      </c>
      <c r="R65" s="4">
        <v>0</v>
      </c>
      <c r="S65" s="6">
        <v>0</v>
      </c>
      <c r="T65" s="6">
        <v>32</v>
      </c>
      <c r="U65" s="6">
        <v>64</v>
      </c>
      <c r="V65" s="6">
        <f>IF(ISERROR(VLOOKUP($S$65,'TAR FIN'!$A$1:$O$86,15,0)),0,VLOOKUP($S$65,'TAR FIN'!$A$1:$O$86,15,0))</f>
        <v>0</v>
      </c>
      <c r="W65" s="6">
        <f>IF(ISERROR(VLOOKUP($T$65,'TAR FIN'!$A$1:$O$86,15,0)),0,VLOOKUP($T$65,'TAR FIN'!$A$1:$O$86,15,0))</f>
        <v>365.93</v>
      </c>
      <c r="X65" s="6">
        <f>IF(ISERROR(VLOOKUP($U$65,'TAR FIN'!$A$1:$O$86,15,0)),0,VLOOKUP($U$65,'TAR FIN'!$A$1:$O$86,15,0))</f>
        <v>131.87</v>
      </c>
      <c r="Y65" s="6"/>
      <c r="Z65" s="6">
        <f ca="1">('TUSD BE'!$AM$19+'TUSD BF'!$AM$19+'TUSD CVA'!$AM$19)*1</f>
        <v>444.69221294724491</v>
      </c>
      <c r="AA65" s="6">
        <f>('TE BE'!$AB$10+'TE BF'!$AB$10+'TE CVA'!$AB$10)*1</f>
        <v>116.42847759142431</v>
      </c>
      <c r="AB65" s="6">
        <f>$K$65*$V$65</f>
        <v>0</v>
      </c>
      <c r="AC65" s="6">
        <f>$M$65*$W$65</f>
        <v>76.479370000000003</v>
      </c>
      <c r="AD65" s="6">
        <f>$O$65*$X$65</f>
        <v>27.560829999999999</v>
      </c>
      <c r="AE65" s="6">
        <f>$K$65*$Y$65</f>
        <v>0</v>
      </c>
      <c r="AF65" s="6">
        <f ca="1">$M$65*$Z$65</f>
        <v>92.940672505974177</v>
      </c>
      <c r="AG65" s="6">
        <f>$O$65*$AA$65</f>
        <v>24.333551816607681</v>
      </c>
    </row>
    <row r="66" spans="1:33" ht="11.25" customHeight="1" x14ac:dyDescent="0.25">
      <c r="A66" s="4" t="s">
        <v>21</v>
      </c>
      <c r="B66" s="4" t="s">
        <v>22</v>
      </c>
      <c r="C66" s="4" t="s">
        <v>33</v>
      </c>
      <c r="D66" s="4" t="s">
        <v>24</v>
      </c>
      <c r="E66" s="4" t="s">
        <v>24</v>
      </c>
      <c r="F66" s="4" t="s">
        <v>25</v>
      </c>
      <c r="G66" s="4" t="s">
        <v>25</v>
      </c>
      <c r="H66" s="4" t="s">
        <v>35</v>
      </c>
      <c r="I66" s="5">
        <v>44409</v>
      </c>
      <c r="J66" s="6">
        <v>0</v>
      </c>
      <c r="K66" s="6">
        <v>0</v>
      </c>
      <c r="L66" s="6">
        <v>0.20200000000000001</v>
      </c>
      <c r="M66" s="6">
        <v>0.20200000000000001</v>
      </c>
      <c r="N66" s="6">
        <v>0.20200000000000001</v>
      </c>
      <c r="O66" s="6">
        <v>0.20200000000000001</v>
      </c>
      <c r="P66" s="6">
        <v>0</v>
      </c>
      <c r="Q66" s="4" t="s">
        <v>26</v>
      </c>
      <c r="R66" s="4">
        <v>0</v>
      </c>
      <c r="S66" s="6">
        <v>0</v>
      </c>
      <c r="T66" s="6">
        <v>32</v>
      </c>
      <c r="U66" s="6">
        <v>64</v>
      </c>
      <c r="V66" s="6">
        <f>IF(ISERROR(VLOOKUP($S$66,'TAR FIN'!$A$1:$O$86,15,0)),0,VLOOKUP($S$66,'TAR FIN'!$A$1:$O$86,15,0))</f>
        <v>0</v>
      </c>
      <c r="W66" s="6">
        <f>IF(ISERROR(VLOOKUP($T$66,'TAR FIN'!$A$1:$O$86,15,0)),0,VLOOKUP($T$66,'TAR FIN'!$A$1:$O$86,15,0))</f>
        <v>365.93</v>
      </c>
      <c r="X66" s="6">
        <f>IF(ISERROR(VLOOKUP($U$66,'TAR FIN'!$A$1:$O$86,15,0)),0,VLOOKUP($U$66,'TAR FIN'!$A$1:$O$86,15,0))</f>
        <v>131.87</v>
      </c>
      <c r="Y66" s="6"/>
      <c r="Z66" s="6">
        <f ca="1">('TUSD BE'!$AM$19+'TUSD BF'!$AM$19+'TUSD CVA'!$AM$19)*1</f>
        <v>444.69221294724491</v>
      </c>
      <c r="AA66" s="6">
        <f>('TE BE'!$AB$10+'TE BF'!$AB$10+'TE CVA'!$AB$10)*1</f>
        <v>116.42847759142431</v>
      </c>
      <c r="AB66" s="6">
        <f>$K$66*$V$66</f>
        <v>0</v>
      </c>
      <c r="AC66" s="6">
        <f>$M$66*$W$66</f>
        <v>73.917860000000005</v>
      </c>
      <c r="AD66" s="6">
        <f>$O$66*$X$66</f>
        <v>26.637740000000001</v>
      </c>
      <c r="AE66" s="6">
        <f>$K$66*$Y$66</f>
        <v>0</v>
      </c>
      <c r="AF66" s="6">
        <f ca="1">$M$66*$Z$66</f>
        <v>89.827827015343473</v>
      </c>
      <c r="AG66" s="6">
        <f>$O$66*$AA$66</f>
        <v>23.518552473467711</v>
      </c>
    </row>
    <row r="67" spans="1:33" ht="11.25" customHeight="1" x14ac:dyDescent="0.25">
      <c r="A67" s="4" t="s">
        <v>21</v>
      </c>
      <c r="B67" s="4" t="s">
        <v>22</v>
      </c>
      <c r="C67" s="4" t="s">
        <v>33</v>
      </c>
      <c r="D67" s="4" t="s">
        <v>24</v>
      </c>
      <c r="E67" s="4" t="s">
        <v>24</v>
      </c>
      <c r="F67" s="4" t="s">
        <v>25</v>
      </c>
      <c r="G67" s="4" t="s">
        <v>25</v>
      </c>
      <c r="H67" s="4" t="s">
        <v>35</v>
      </c>
      <c r="I67" s="5">
        <v>44440</v>
      </c>
      <c r="J67" s="6">
        <v>0</v>
      </c>
      <c r="K67" s="6">
        <v>0</v>
      </c>
      <c r="L67" s="6">
        <v>0.23899999999999999</v>
      </c>
      <c r="M67" s="6">
        <v>0.23899999999999999</v>
      </c>
      <c r="N67" s="6">
        <v>0.23899999999999999</v>
      </c>
      <c r="O67" s="6">
        <v>0.23899999999999999</v>
      </c>
      <c r="P67" s="6">
        <v>0</v>
      </c>
      <c r="Q67" s="4" t="s">
        <v>26</v>
      </c>
      <c r="R67" s="4">
        <v>0</v>
      </c>
      <c r="S67" s="6">
        <v>0</v>
      </c>
      <c r="T67" s="6">
        <v>32</v>
      </c>
      <c r="U67" s="6">
        <v>64</v>
      </c>
      <c r="V67" s="6">
        <f>IF(ISERROR(VLOOKUP($S$67,'TAR FIN'!$A$1:$O$86,15,0)),0,VLOOKUP($S$67,'TAR FIN'!$A$1:$O$86,15,0))</f>
        <v>0</v>
      </c>
      <c r="W67" s="6">
        <f>IF(ISERROR(VLOOKUP($T$67,'TAR FIN'!$A$1:$O$86,15,0)),0,VLOOKUP($T$67,'TAR FIN'!$A$1:$O$86,15,0))</f>
        <v>365.93</v>
      </c>
      <c r="X67" s="6">
        <f>IF(ISERROR(VLOOKUP($U$67,'TAR FIN'!$A$1:$O$86,15,0)),0,VLOOKUP($U$67,'TAR FIN'!$A$1:$O$86,15,0))</f>
        <v>131.87</v>
      </c>
      <c r="Y67" s="6"/>
      <c r="Z67" s="6">
        <f ca="1">('TUSD BE'!$AM$19+'TUSD BF'!$AM$19+'TUSD CVA'!$AM$19)*1</f>
        <v>444.69221294724491</v>
      </c>
      <c r="AA67" s="6">
        <f>('TE BE'!$AB$10+'TE BF'!$AB$10+'TE CVA'!$AB$10)*1</f>
        <v>116.42847759142431</v>
      </c>
      <c r="AB67" s="6">
        <f>$K$67*$V$67</f>
        <v>0</v>
      </c>
      <c r="AC67" s="6">
        <f>$M$67*$W$67</f>
        <v>87.457269999999994</v>
      </c>
      <c r="AD67" s="6">
        <f>$O$67*$X$67</f>
        <v>31.516929999999999</v>
      </c>
      <c r="AE67" s="6">
        <f>$K$67*$Y$67</f>
        <v>0</v>
      </c>
      <c r="AF67" s="6">
        <f ca="1">$M$67*$Z$67</f>
        <v>106.28143889439153</v>
      </c>
      <c r="AG67" s="6">
        <f>$O$67*$AA$67</f>
        <v>27.826406144350408</v>
      </c>
    </row>
    <row r="68" spans="1:33" ht="11.25" customHeight="1" x14ac:dyDescent="0.25">
      <c r="A68" s="4" t="s">
        <v>21</v>
      </c>
      <c r="B68" s="4" t="s">
        <v>22</v>
      </c>
      <c r="C68" s="4" t="s">
        <v>33</v>
      </c>
      <c r="D68" s="4" t="s">
        <v>24</v>
      </c>
      <c r="E68" s="4" t="s">
        <v>24</v>
      </c>
      <c r="F68" s="4" t="s">
        <v>25</v>
      </c>
      <c r="G68" s="4" t="s">
        <v>25</v>
      </c>
      <c r="H68" s="4" t="s">
        <v>35</v>
      </c>
      <c r="I68" s="5">
        <v>44470</v>
      </c>
      <c r="J68" s="6">
        <v>0</v>
      </c>
      <c r="K68" s="6">
        <v>0</v>
      </c>
      <c r="L68" s="6">
        <v>0.247</v>
      </c>
      <c r="M68" s="6">
        <v>0.247</v>
      </c>
      <c r="N68" s="6">
        <v>0.247</v>
      </c>
      <c r="O68" s="6">
        <v>0.247</v>
      </c>
      <c r="P68" s="6">
        <v>0</v>
      </c>
      <c r="Q68" s="4" t="s">
        <v>26</v>
      </c>
      <c r="R68" s="4">
        <v>0</v>
      </c>
      <c r="S68" s="6">
        <v>0</v>
      </c>
      <c r="T68" s="6">
        <v>32</v>
      </c>
      <c r="U68" s="6">
        <v>64</v>
      </c>
      <c r="V68" s="6">
        <f>IF(ISERROR(VLOOKUP($S$68,'TAR FIN'!$A$1:$O$86,15,0)),0,VLOOKUP($S$68,'TAR FIN'!$A$1:$O$86,15,0))</f>
        <v>0</v>
      </c>
      <c r="W68" s="6">
        <f>IF(ISERROR(VLOOKUP($T$68,'TAR FIN'!$A$1:$O$86,15,0)),0,VLOOKUP($T$68,'TAR FIN'!$A$1:$O$86,15,0))</f>
        <v>365.93</v>
      </c>
      <c r="X68" s="6">
        <f>IF(ISERROR(VLOOKUP($U$68,'TAR FIN'!$A$1:$O$86,15,0)),0,VLOOKUP($U$68,'TAR FIN'!$A$1:$O$86,15,0))</f>
        <v>131.87</v>
      </c>
      <c r="Y68" s="6"/>
      <c r="Z68" s="6">
        <f ca="1">('TUSD BE'!$AM$19+'TUSD BF'!$AM$19+'TUSD CVA'!$AM$19)*1</f>
        <v>444.69221294724491</v>
      </c>
      <c r="AA68" s="6">
        <f>('TE BE'!$AB$10+'TE BF'!$AB$10+'TE CVA'!$AB$10)*1</f>
        <v>116.42847759142431</v>
      </c>
      <c r="AB68" s="6">
        <f>$K$68*$V$68</f>
        <v>0</v>
      </c>
      <c r="AC68" s="6">
        <f>$M$68*$W$68</f>
        <v>90.384709999999998</v>
      </c>
      <c r="AD68" s="6">
        <f>$O$68*$X$68</f>
        <v>32.571890000000003</v>
      </c>
      <c r="AE68" s="6">
        <f>$K$68*$Y$68</f>
        <v>0</v>
      </c>
      <c r="AF68" s="6">
        <f ca="1">$M$68*$Z$68</f>
        <v>109.83897659796949</v>
      </c>
      <c r="AG68" s="6">
        <f>$O$68*$AA$68</f>
        <v>28.757833965081804</v>
      </c>
    </row>
    <row r="69" spans="1:33" ht="11.25" customHeight="1" x14ac:dyDescent="0.25">
      <c r="A69" s="4" t="s">
        <v>21</v>
      </c>
      <c r="B69" s="4" t="s">
        <v>22</v>
      </c>
      <c r="C69" s="4" t="s">
        <v>33</v>
      </c>
      <c r="D69" s="4" t="s">
        <v>24</v>
      </c>
      <c r="E69" s="4" t="s">
        <v>24</v>
      </c>
      <c r="F69" s="4" t="s">
        <v>25</v>
      </c>
      <c r="G69" s="4" t="s">
        <v>25</v>
      </c>
      <c r="H69" s="4" t="s">
        <v>35</v>
      </c>
      <c r="I69" s="5">
        <v>44501</v>
      </c>
      <c r="J69" s="6">
        <v>0</v>
      </c>
      <c r="K69" s="6">
        <v>0</v>
      </c>
      <c r="L69" s="6">
        <v>0.28100000000000003</v>
      </c>
      <c r="M69" s="6">
        <v>0.28100000000000003</v>
      </c>
      <c r="N69" s="6">
        <v>0.28100000000000003</v>
      </c>
      <c r="O69" s="6">
        <v>0.28100000000000003</v>
      </c>
      <c r="P69" s="6">
        <v>0</v>
      </c>
      <c r="Q69" s="4" t="s">
        <v>26</v>
      </c>
      <c r="R69" s="4">
        <v>0</v>
      </c>
      <c r="S69" s="6">
        <v>0</v>
      </c>
      <c r="T69" s="6">
        <v>32</v>
      </c>
      <c r="U69" s="6">
        <v>64</v>
      </c>
      <c r="V69" s="6">
        <f>IF(ISERROR(VLOOKUP($S$69,'TAR FIN'!$A$1:$O$86,15,0)),0,VLOOKUP($S$69,'TAR FIN'!$A$1:$O$86,15,0))</f>
        <v>0</v>
      </c>
      <c r="W69" s="6">
        <f>IF(ISERROR(VLOOKUP($T$69,'TAR FIN'!$A$1:$O$86,15,0)),0,VLOOKUP($T$69,'TAR FIN'!$A$1:$O$86,15,0))</f>
        <v>365.93</v>
      </c>
      <c r="X69" s="6">
        <f>IF(ISERROR(VLOOKUP($U$69,'TAR FIN'!$A$1:$O$86,15,0)),0,VLOOKUP($U$69,'TAR FIN'!$A$1:$O$86,15,0))</f>
        <v>131.87</v>
      </c>
      <c r="Y69" s="6"/>
      <c r="Z69" s="6">
        <f ca="1">('TUSD BE'!$AM$19+'TUSD BF'!$AM$19+'TUSD CVA'!$AM$19)*1</f>
        <v>444.69221294724491</v>
      </c>
      <c r="AA69" s="6">
        <f>('TE BE'!$AB$10+'TE BF'!$AB$10+'TE CVA'!$AB$10)*1</f>
        <v>116.42847759142431</v>
      </c>
      <c r="AB69" s="6">
        <f>$K$69*$V$69</f>
        <v>0</v>
      </c>
      <c r="AC69" s="6">
        <f>$M$69*$W$69</f>
        <v>102.82633000000001</v>
      </c>
      <c r="AD69" s="6">
        <f>$O$69*$X$69</f>
        <v>37.055470000000007</v>
      </c>
      <c r="AE69" s="6">
        <f>$K$69*$Y$69</f>
        <v>0</v>
      </c>
      <c r="AF69" s="6">
        <f ca="1">$M$69*$Z$69</f>
        <v>124.95851183817584</v>
      </c>
      <c r="AG69" s="6">
        <f>$O$69*$AA$69</f>
        <v>32.716402203190235</v>
      </c>
    </row>
    <row r="70" spans="1:33" ht="11.25" customHeight="1" x14ac:dyDescent="0.25">
      <c r="A70" s="4" t="s">
        <v>21</v>
      </c>
      <c r="B70" s="4" t="s">
        <v>22</v>
      </c>
      <c r="C70" s="4" t="s">
        <v>33</v>
      </c>
      <c r="D70" s="4" t="s">
        <v>24</v>
      </c>
      <c r="E70" s="4" t="s">
        <v>24</v>
      </c>
      <c r="F70" s="4" t="s">
        <v>25</v>
      </c>
      <c r="G70" s="4" t="s">
        <v>25</v>
      </c>
      <c r="H70" s="4" t="s">
        <v>35</v>
      </c>
      <c r="I70" s="5">
        <v>44531</v>
      </c>
      <c r="J70" s="6">
        <v>0</v>
      </c>
      <c r="K70" s="6">
        <v>0</v>
      </c>
      <c r="L70" s="6">
        <v>0.28499999999999998</v>
      </c>
      <c r="M70" s="6">
        <v>0.28499999999999998</v>
      </c>
      <c r="N70" s="6">
        <v>0.28499999999999998</v>
      </c>
      <c r="O70" s="6">
        <v>0.28499999999999998</v>
      </c>
      <c r="P70" s="6">
        <v>0</v>
      </c>
      <c r="Q70" s="4" t="s">
        <v>26</v>
      </c>
      <c r="R70" s="4">
        <v>0</v>
      </c>
      <c r="S70" s="6">
        <v>0</v>
      </c>
      <c r="T70" s="6">
        <v>32</v>
      </c>
      <c r="U70" s="6">
        <v>64</v>
      </c>
      <c r="V70" s="6">
        <f>IF(ISERROR(VLOOKUP($S$70,'TAR FIN'!$A$1:$O$86,15,0)),0,VLOOKUP($S$70,'TAR FIN'!$A$1:$O$86,15,0))</f>
        <v>0</v>
      </c>
      <c r="W70" s="6">
        <f>IF(ISERROR(VLOOKUP($T$70,'TAR FIN'!$A$1:$O$86,15,0)),0,VLOOKUP($T$70,'TAR FIN'!$A$1:$O$86,15,0))</f>
        <v>365.93</v>
      </c>
      <c r="X70" s="6">
        <f>IF(ISERROR(VLOOKUP($U$70,'TAR FIN'!$A$1:$O$86,15,0)),0,VLOOKUP($U$70,'TAR FIN'!$A$1:$O$86,15,0))</f>
        <v>131.87</v>
      </c>
      <c r="Y70" s="6"/>
      <c r="Z70" s="6">
        <f ca="1">('TUSD BE'!$AM$19+'TUSD BF'!$AM$19+'TUSD CVA'!$AM$19)*1</f>
        <v>444.69221294724491</v>
      </c>
      <c r="AA70" s="6">
        <f>('TE BE'!$AB$10+'TE BF'!$AB$10+'TE CVA'!$AB$10)*1</f>
        <v>116.42847759142431</v>
      </c>
      <c r="AB70" s="6">
        <f>$K$70*$V$70</f>
        <v>0</v>
      </c>
      <c r="AC70" s="6">
        <f>$M$70*$W$70</f>
        <v>104.29004999999999</v>
      </c>
      <c r="AD70" s="6">
        <f>$O$70*$X$70</f>
        <v>37.582949999999997</v>
      </c>
      <c r="AE70" s="6">
        <f>$K$70*$Y$70</f>
        <v>0</v>
      </c>
      <c r="AF70" s="6">
        <f ca="1">$M$70*$Z$70</f>
        <v>126.73728068996479</v>
      </c>
      <c r="AG70" s="6">
        <f>$O$70*$AA$70</f>
        <v>33.182116113555928</v>
      </c>
    </row>
    <row r="71" spans="1:33" ht="11.25" customHeight="1" x14ac:dyDescent="0.25">
      <c r="A71" s="4" t="s">
        <v>21</v>
      </c>
      <c r="B71" s="4" t="s">
        <v>22</v>
      </c>
      <c r="C71" s="4" t="s">
        <v>33</v>
      </c>
      <c r="D71" s="4" t="s">
        <v>24</v>
      </c>
      <c r="E71" s="4" t="s">
        <v>24</v>
      </c>
      <c r="F71" s="4" t="s">
        <v>25</v>
      </c>
      <c r="G71" s="4" t="s">
        <v>25</v>
      </c>
      <c r="H71" s="4" t="s">
        <v>35</v>
      </c>
      <c r="I71" s="5">
        <v>44562</v>
      </c>
      <c r="J71" s="6">
        <v>0</v>
      </c>
      <c r="K71" s="6">
        <v>0</v>
      </c>
      <c r="L71" s="6">
        <v>0.26400000000000001</v>
      </c>
      <c r="M71" s="6">
        <v>0.26400000000000001</v>
      </c>
      <c r="N71" s="6">
        <v>0.26400000000000001</v>
      </c>
      <c r="O71" s="6">
        <v>0.26400000000000001</v>
      </c>
      <c r="P71" s="6">
        <v>0</v>
      </c>
      <c r="Q71" s="4" t="s">
        <v>26</v>
      </c>
      <c r="R71" s="4">
        <v>0</v>
      </c>
      <c r="S71" s="6">
        <v>0</v>
      </c>
      <c r="T71" s="6">
        <v>32</v>
      </c>
      <c r="U71" s="6">
        <v>64</v>
      </c>
      <c r="V71" s="6">
        <f>IF(ISERROR(VLOOKUP($S$71,'TAR FIN'!$A$1:$O$86,15,0)),0,VLOOKUP($S$71,'TAR FIN'!$A$1:$O$86,15,0))</f>
        <v>0</v>
      </c>
      <c r="W71" s="6">
        <f>IF(ISERROR(VLOOKUP($T$71,'TAR FIN'!$A$1:$O$86,15,0)),0,VLOOKUP($T$71,'TAR FIN'!$A$1:$O$86,15,0))</f>
        <v>365.93</v>
      </c>
      <c r="X71" s="6">
        <f>IF(ISERROR(VLOOKUP($U$71,'TAR FIN'!$A$1:$O$86,15,0)),0,VLOOKUP($U$71,'TAR FIN'!$A$1:$O$86,15,0))</f>
        <v>131.87</v>
      </c>
      <c r="Y71" s="6"/>
      <c r="Z71" s="6">
        <f ca="1">('TUSD BE'!$AM$19+'TUSD BF'!$AM$19+'TUSD CVA'!$AM$19)*1</f>
        <v>444.69221294724491</v>
      </c>
      <c r="AA71" s="6">
        <f>('TE BE'!$AB$10+'TE BF'!$AB$10+'TE CVA'!$AB$10)*1</f>
        <v>116.42847759142431</v>
      </c>
      <c r="AB71" s="6">
        <f>$K$71*$V$71</f>
        <v>0</v>
      </c>
      <c r="AC71" s="6">
        <f>$M$71*$W$71</f>
        <v>96.605520000000013</v>
      </c>
      <c r="AD71" s="6">
        <f>$O$71*$X$71</f>
        <v>34.813680000000005</v>
      </c>
      <c r="AE71" s="6">
        <f>$K$71*$Y$71</f>
        <v>0</v>
      </c>
      <c r="AF71" s="6">
        <f ca="1">$M$71*$Z$71</f>
        <v>117.39874421807266</v>
      </c>
      <c r="AG71" s="6">
        <f>$O$71*$AA$71</f>
        <v>30.737118084136018</v>
      </c>
    </row>
    <row r="72" spans="1:33" ht="11.25" customHeight="1" x14ac:dyDescent="0.25">
      <c r="A72" s="4" t="s">
        <v>21</v>
      </c>
      <c r="B72" s="4" t="s">
        <v>22</v>
      </c>
      <c r="C72" s="4" t="s">
        <v>33</v>
      </c>
      <c r="D72" s="4" t="s">
        <v>24</v>
      </c>
      <c r="E72" s="4" t="s">
        <v>24</v>
      </c>
      <c r="F72" s="4" t="s">
        <v>25</v>
      </c>
      <c r="G72" s="4" t="s">
        <v>25</v>
      </c>
      <c r="H72" s="4" t="s">
        <v>35</v>
      </c>
      <c r="I72" s="5">
        <v>44593</v>
      </c>
      <c r="J72" s="6">
        <v>0</v>
      </c>
      <c r="K72" s="6">
        <v>0</v>
      </c>
      <c r="L72" s="6">
        <v>0.27400000000000002</v>
      </c>
      <c r="M72" s="6">
        <v>0.27400000000000002</v>
      </c>
      <c r="N72" s="6">
        <v>0.27400000000000002</v>
      </c>
      <c r="O72" s="6">
        <v>0.27400000000000002</v>
      </c>
      <c r="P72" s="6">
        <v>0</v>
      </c>
      <c r="Q72" s="4" t="s">
        <v>26</v>
      </c>
      <c r="R72" s="4">
        <v>0</v>
      </c>
      <c r="S72" s="6">
        <v>0</v>
      </c>
      <c r="T72" s="6">
        <v>32</v>
      </c>
      <c r="U72" s="6">
        <v>64</v>
      </c>
      <c r="V72" s="6">
        <f>IF(ISERROR(VLOOKUP($S$72,'TAR FIN'!$A$1:$O$86,15,0)),0,VLOOKUP($S$72,'TAR FIN'!$A$1:$O$86,15,0))</f>
        <v>0</v>
      </c>
      <c r="W72" s="6">
        <f>IF(ISERROR(VLOOKUP($T$72,'TAR FIN'!$A$1:$O$86,15,0)),0,VLOOKUP($T$72,'TAR FIN'!$A$1:$O$86,15,0))</f>
        <v>365.93</v>
      </c>
      <c r="X72" s="6">
        <f>IF(ISERROR(VLOOKUP($U$72,'TAR FIN'!$A$1:$O$86,15,0)),0,VLOOKUP($U$72,'TAR FIN'!$A$1:$O$86,15,0))</f>
        <v>131.87</v>
      </c>
      <c r="Y72" s="6"/>
      <c r="Z72" s="6">
        <f ca="1">('TUSD BE'!$AM$19+'TUSD BF'!$AM$19+'TUSD CVA'!$AM$19)*1</f>
        <v>444.69221294724491</v>
      </c>
      <c r="AA72" s="6">
        <f>('TE BE'!$AB$10+'TE BF'!$AB$10+'TE CVA'!$AB$10)*1</f>
        <v>116.42847759142431</v>
      </c>
      <c r="AB72" s="6">
        <f>$K$72*$V$72</f>
        <v>0</v>
      </c>
      <c r="AC72" s="6">
        <f>$M$72*$W$72</f>
        <v>100.26482000000001</v>
      </c>
      <c r="AD72" s="6">
        <f>$O$72*$X$72</f>
        <v>36.132380000000005</v>
      </c>
      <c r="AE72" s="6">
        <f>$K$72*$Y$72</f>
        <v>0</v>
      </c>
      <c r="AF72" s="6">
        <f ca="1">$M$72*$Z$72</f>
        <v>121.84566634754512</v>
      </c>
      <c r="AG72" s="6">
        <f>$O$72*$AA$72</f>
        <v>31.901402860050265</v>
      </c>
    </row>
    <row r="73" spans="1:33" ht="11.25" customHeight="1" x14ac:dyDescent="0.25">
      <c r="A73" s="4" t="s">
        <v>21</v>
      </c>
      <c r="B73" s="4" t="s">
        <v>22</v>
      </c>
      <c r="C73" s="4" t="s">
        <v>33</v>
      </c>
      <c r="D73" s="4" t="s">
        <v>24</v>
      </c>
      <c r="E73" s="4" t="s">
        <v>24</v>
      </c>
      <c r="F73" s="4" t="s">
        <v>25</v>
      </c>
      <c r="G73" s="4" t="s">
        <v>25</v>
      </c>
      <c r="H73" s="4" t="s">
        <v>35</v>
      </c>
      <c r="I73" s="5">
        <v>44621</v>
      </c>
      <c r="J73" s="6">
        <v>0</v>
      </c>
      <c r="K73" s="6">
        <v>0</v>
      </c>
      <c r="L73" s="6">
        <v>0.21</v>
      </c>
      <c r="M73" s="6">
        <v>0.21</v>
      </c>
      <c r="N73" s="6">
        <v>0.21</v>
      </c>
      <c r="O73" s="6">
        <v>0.21</v>
      </c>
      <c r="P73" s="6">
        <v>0</v>
      </c>
      <c r="Q73" s="4" t="s">
        <v>26</v>
      </c>
      <c r="R73" s="4">
        <v>0</v>
      </c>
      <c r="S73" s="6">
        <v>0</v>
      </c>
      <c r="T73" s="6">
        <v>32</v>
      </c>
      <c r="U73" s="6">
        <v>64</v>
      </c>
      <c r="V73" s="6">
        <f>IF(ISERROR(VLOOKUP($S$73,'TAR FIN'!$A$1:$O$86,15,0)),0,VLOOKUP($S$73,'TAR FIN'!$A$1:$O$86,15,0))</f>
        <v>0</v>
      </c>
      <c r="W73" s="6">
        <f>IF(ISERROR(VLOOKUP($T$73,'TAR FIN'!$A$1:$O$86,15,0)),0,VLOOKUP($T$73,'TAR FIN'!$A$1:$O$86,15,0))</f>
        <v>365.93</v>
      </c>
      <c r="X73" s="6">
        <f>IF(ISERROR(VLOOKUP($U$73,'TAR FIN'!$A$1:$O$86,15,0)),0,VLOOKUP($U$73,'TAR FIN'!$A$1:$O$86,15,0))</f>
        <v>131.87</v>
      </c>
      <c r="Y73" s="6"/>
      <c r="Z73" s="6">
        <f ca="1">('TUSD BE'!$AM$19+'TUSD BF'!$AM$19+'TUSD CVA'!$AM$19)*1</f>
        <v>444.69221294724491</v>
      </c>
      <c r="AA73" s="6">
        <f>('TE BE'!$AB$10+'TE BF'!$AB$10+'TE CVA'!$AB$10)*1</f>
        <v>116.42847759142431</v>
      </c>
      <c r="AB73" s="6">
        <f>$K$73*$V$73</f>
        <v>0</v>
      </c>
      <c r="AC73" s="6">
        <f>$M$73*$W$73</f>
        <v>76.845299999999995</v>
      </c>
      <c r="AD73" s="6">
        <f>$O$73*$X$73</f>
        <v>27.692699999999999</v>
      </c>
      <c r="AE73" s="6">
        <f>$K$73*$Y$73</f>
        <v>0</v>
      </c>
      <c r="AF73" s="6">
        <f ca="1">$M$73*$Z$73</f>
        <v>93.385364718921423</v>
      </c>
      <c r="AG73" s="6">
        <f>$O$73*$AA$73</f>
        <v>24.449980294199104</v>
      </c>
    </row>
    <row r="74" spans="1:33" ht="11.25" customHeight="1" x14ac:dyDescent="0.25">
      <c r="A74" s="4" t="s">
        <v>21</v>
      </c>
      <c r="B74" s="4" t="s">
        <v>22</v>
      </c>
      <c r="C74" s="4" t="s">
        <v>33</v>
      </c>
      <c r="D74" s="4" t="s">
        <v>24</v>
      </c>
      <c r="E74" s="4" t="s">
        <v>24</v>
      </c>
      <c r="F74" s="4" t="s">
        <v>25</v>
      </c>
      <c r="G74" s="4" t="s">
        <v>25</v>
      </c>
      <c r="H74" s="4" t="s">
        <v>36</v>
      </c>
      <c r="I74" s="5">
        <v>44378</v>
      </c>
      <c r="J74" s="6">
        <v>0</v>
      </c>
      <c r="K74" s="6">
        <v>0</v>
      </c>
      <c r="L74" s="6">
        <v>1.4999999999999999E-2</v>
      </c>
      <c r="M74" s="6">
        <v>1.4999999999999999E-2</v>
      </c>
      <c r="N74" s="6">
        <v>1.4999999999999999E-2</v>
      </c>
      <c r="O74" s="6">
        <v>1.4999999999999999E-2</v>
      </c>
      <c r="P74" s="6">
        <v>0</v>
      </c>
      <c r="Q74" s="4" t="s">
        <v>26</v>
      </c>
      <c r="R74" s="4">
        <v>0</v>
      </c>
      <c r="S74" s="6">
        <v>0</v>
      </c>
      <c r="T74" s="6">
        <v>5</v>
      </c>
      <c r="U74" s="6">
        <v>36</v>
      </c>
      <c r="V74" s="6">
        <f>IF(ISERROR(VLOOKUP($S$74,'TAR FIN'!$A$1:$O$86,15,0)),0,VLOOKUP($S$74,'TAR FIN'!$A$1:$O$86,15,0))</f>
        <v>0</v>
      </c>
      <c r="W74" s="6">
        <f>IF(ISERROR(VLOOKUP($T$74,'TAR FIN'!$A$1:$O$86,15,0)),0,VLOOKUP($T$74,'TAR FIN'!$A$1:$O$86,15,0))</f>
        <v>893.11</v>
      </c>
      <c r="X74" s="6">
        <f>IF(ISERROR(VLOOKUP($U$74,'TAR FIN'!$A$1:$O$86,15,0)),0,VLOOKUP($U$74,'TAR FIN'!$A$1:$O$86,15,0))</f>
        <v>131.87</v>
      </c>
      <c r="Y74" s="6"/>
      <c r="Z74" s="6">
        <f ca="1">('TUSD BE'!$AM$18+'TUSD BF'!$AM$18+'TUSD CVA'!$AM$18)*1</f>
        <v>1067.0560320838438</v>
      </c>
      <c r="AA74" s="6">
        <f>('TE BE'!$AB$9+'TE BF'!$AB$9+'TE CVA'!$AB$9)*1</f>
        <v>116.42847759142431</v>
      </c>
      <c r="AB74" s="6">
        <f>$K$74*$V$74</f>
        <v>0</v>
      </c>
      <c r="AC74" s="6">
        <f>$M$74*$W$74</f>
        <v>13.396649999999999</v>
      </c>
      <c r="AD74" s="6">
        <f>$O$74*$X$74</f>
        <v>1.9780500000000001</v>
      </c>
      <c r="AE74" s="6">
        <f>$K$74*$Y$74</f>
        <v>0</v>
      </c>
      <c r="AF74" s="6">
        <f ca="1">$M$74*$Z$74</f>
        <v>16.005840481257657</v>
      </c>
      <c r="AG74" s="6">
        <f>$O$74*$AA$74</f>
        <v>1.7464271638713647</v>
      </c>
    </row>
    <row r="75" spans="1:33" ht="11.25" customHeight="1" x14ac:dyDescent="0.25">
      <c r="A75" s="4" t="s">
        <v>21</v>
      </c>
      <c r="B75" s="4" t="s">
        <v>22</v>
      </c>
      <c r="C75" s="4" t="s">
        <v>33</v>
      </c>
      <c r="D75" s="4" t="s">
        <v>24</v>
      </c>
      <c r="E75" s="4" t="s">
        <v>24</v>
      </c>
      <c r="F75" s="4" t="s">
        <v>25</v>
      </c>
      <c r="G75" s="4" t="s">
        <v>25</v>
      </c>
      <c r="H75" s="4" t="s">
        <v>36</v>
      </c>
      <c r="I75" s="5">
        <v>44409</v>
      </c>
      <c r="J75" s="6">
        <v>0</v>
      </c>
      <c r="K75" s="6">
        <v>0</v>
      </c>
      <c r="L75" s="6">
        <v>1.6E-2</v>
      </c>
      <c r="M75" s="6">
        <v>1.6E-2</v>
      </c>
      <c r="N75" s="6">
        <v>1.6E-2</v>
      </c>
      <c r="O75" s="6">
        <v>1.6E-2</v>
      </c>
      <c r="P75" s="6">
        <v>0</v>
      </c>
      <c r="Q75" s="4" t="s">
        <v>26</v>
      </c>
      <c r="R75" s="4">
        <v>0</v>
      </c>
      <c r="S75" s="6">
        <v>0</v>
      </c>
      <c r="T75" s="6">
        <v>5</v>
      </c>
      <c r="U75" s="6">
        <v>36</v>
      </c>
      <c r="V75" s="6">
        <f>IF(ISERROR(VLOOKUP($S$75,'TAR FIN'!$A$1:$O$86,15,0)),0,VLOOKUP($S$75,'TAR FIN'!$A$1:$O$86,15,0))</f>
        <v>0</v>
      </c>
      <c r="W75" s="6">
        <f>IF(ISERROR(VLOOKUP($T$75,'TAR FIN'!$A$1:$O$86,15,0)),0,VLOOKUP($T$75,'TAR FIN'!$A$1:$O$86,15,0))</f>
        <v>893.11</v>
      </c>
      <c r="X75" s="6">
        <f>IF(ISERROR(VLOOKUP($U$75,'TAR FIN'!$A$1:$O$86,15,0)),0,VLOOKUP($U$75,'TAR FIN'!$A$1:$O$86,15,0))</f>
        <v>131.87</v>
      </c>
      <c r="Y75" s="6"/>
      <c r="Z75" s="6">
        <f ca="1">('TUSD BE'!$AM$18+'TUSD BF'!$AM$18+'TUSD CVA'!$AM$18)*1</f>
        <v>1067.0560320838438</v>
      </c>
      <c r="AA75" s="6">
        <f>('TE BE'!$AB$9+'TE BF'!$AB$9+'TE CVA'!$AB$9)*1</f>
        <v>116.42847759142431</v>
      </c>
      <c r="AB75" s="6">
        <f>$K$75*$V$75</f>
        <v>0</v>
      </c>
      <c r="AC75" s="6">
        <f>$M$75*$W$75</f>
        <v>14.289760000000001</v>
      </c>
      <c r="AD75" s="6">
        <f>$O$75*$X$75</f>
        <v>2.1099200000000002</v>
      </c>
      <c r="AE75" s="6">
        <f>$K$75*$Y$75</f>
        <v>0</v>
      </c>
      <c r="AF75" s="6">
        <f ca="1">$M$75*$Z$75</f>
        <v>17.072896513341501</v>
      </c>
      <c r="AG75" s="6">
        <f>$O$75*$AA$75</f>
        <v>1.862855641462789</v>
      </c>
    </row>
    <row r="76" spans="1:33" ht="11.25" customHeight="1" x14ac:dyDescent="0.25">
      <c r="A76" s="4" t="s">
        <v>21</v>
      </c>
      <c r="B76" s="4" t="s">
        <v>22</v>
      </c>
      <c r="C76" s="4" t="s">
        <v>33</v>
      </c>
      <c r="D76" s="4" t="s">
        <v>24</v>
      </c>
      <c r="E76" s="4" t="s">
        <v>24</v>
      </c>
      <c r="F76" s="4" t="s">
        <v>25</v>
      </c>
      <c r="G76" s="4" t="s">
        <v>25</v>
      </c>
      <c r="H76" s="4" t="s">
        <v>36</v>
      </c>
      <c r="I76" s="5">
        <v>44440</v>
      </c>
      <c r="J76" s="6">
        <v>0</v>
      </c>
      <c r="K76" s="6">
        <v>0</v>
      </c>
      <c r="L76" s="6">
        <v>1.6E-2</v>
      </c>
      <c r="M76" s="6">
        <v>1.6E-2</v>
      </c>
      <c r="N76" s="6">
        <v>1.6E-2</v>
      </c>
      <c r="O76" s="6">
        <v>1.6E-2</v>
      </c>
      <c r="P76" s="6">
        <v>0</v>
      </c>
      <c r="Q76" s="4" t="s">
        <v>26</v>
      </c>
      <c r="R76" s="4">
        <v>0</v>
      </c>
      <c r="S76" s="6">
        <v>0</v>
      </c>
      <c r="T76" s="6">
        <v>5</v>
      </c>
      <c r="U76" s="6">
        <v>36</v>
      </c>
      <c r="V76" s="6">
        <f>IF(ISERROR(VLOOKUP($S$76,'TAR FIN'!$A$1:$O$86,15,0)),0,VLOOKUP($S$76,'TAR FIN'!$A$1:$O$86,15,0))</f>
        <v>0</v>
      </c>
      <c r="W76" s="6">
        <f>IF(ISERROR(VLOOKUP($T$76,'TAR FIN'!$A$1:$O$86,15,0)),0,VLOOKUP($T$76,'TAR FIN'!$A$1:$O$86,15,0))</f>
        <v>893.11</v>
      </c>
      <c r="X76" s="6">
        <f>IF(ISERROR(VLOOKUP($U$76,'TAR FIN'!$A$1:$O$86,15,0)),0,VLOOKUP($U$76,'TAR FIN'!$A$1:$O$86,15,0))</f>
        <v>131.87</v>
      </c>
      <c r="Y76" s="6"/>
      <c r="Z76" s="6">
        <f ca="1">('TUSD BE'!$AM$18+'TUSD BF'!$AM$18+'TUSD CVA'!$AM$18)*1</f>
        <v>1067.0560320838438</v>
      </c>
      <c r="AA76" s="6">
        <f>('TE BE'!$AB$9+'TE BF'!$AB$9+'TE CVA'!$AB$9)*1</f>
        <v>116.42847759142431</v>
      </c>
      <c r="AB76" s="6">
        <f>$K$76*$V$76</f>
        <v>0</v>
      </c>
      <c r="AC76" s="6">
        <f>$M$76*$W$76</f>
        <v>14.289760000000001</v>
      </c>
      <c r="AD76" s="6">
        <f>$O$76*$X$76</f>
        <v>2.1099200000000002</v>
      </c>
      <c r="AE76" s="6">
        <f>$K$76*$Y$76</f>
        <v>0</v>
      </c>
      <c r="AF76" s="6">
        <f ca="1">$M$76*$Z$76</f>
        <v>17.072896513341501</v>
      </c>
      <c r="AG76" s="6">
        <f>$O$76*$AA$76</f>
        <v>1.862855641462789</v>
      </c>
    </row>
    <row r="77" spans="1:33" ht="11.25" customHeight="1" x14ac:dyDescent="0.25">
      <c r="A77" s="4" t="s">
        <v>21</v>
      </c>
      <c r="B77" s="4" t="s">
        <v>22</v>
      </c>
      <c r="C77" s="4" t="s">
        <v>33</v>
      </c>
      <c r="D77" s="4" t="s">
        <v>24</v>
      </c>
      <c r="E77" s="4" t="s">
        <v>24</v>
      </c>
      <c r="F77" s="4" t="s">
        <v>25</v>
      </c>
      <c r="G77" s="4" t="s">
        <v>25</v>
      </c>
      <c r="H77" s="4" t="s">
        <v>36</v>
      </c>
      <c r="I77" s="5">
        <v>44470</v>
      </c>
      <c r="J77" s="6">
        <v>0</v>
      </c>
      <c r="K77" s="6">
        <v>0</v>
      </c>
      <c r="L77" s="6">
        <v>1.7999999999999999E-2</v>
      </c>
      <c r="M77" s="6">
        <v>1.7999999999999999E-2</v>
      </c>
      <c r="N77" s="6">
        <v>1.7999999999999999E-2</v>
      </c>
      <c r="O77" s="6">
        <v>1.7999999999999999E-2</v>
      </c>
      <c r="P77" s="6">
        <v>0</v>
      </c>
      <c r="Q77" s="4" t="s">
        <v>26</v>
      </c>
      <c r="R77" s="4">
        <v>0</v>
      </c>
      <c r="S77" s="6">
        <v>0</v>
      </c>
      <c r="T77" s="6">
        <v>5</v>
      </c>
      <c r="U77" s="6">
        <v>36</v>
      </c>
      <c r="V77" s="6">
        <f>IF(ISERROR(VLOOKUP($S$77,'TAR FIN'!$A$1:$O$86,15,0)),0,VLOOKUP($S$77,'TAR FIN'!$A$1:$O$86,15,0))</f>
        <v>0</v>
      </c>
      <c r="W77" s="6">
        <f>IF(ISERROR(VLOOKUP($T$77,'TAR FIN'!$A$1:$O$86,15,0)),0,VLOOKUP($T$77,'TAR FIN'!$A$1:$O$86,15,0))</f>
        <v>893.11</v>
      </c>
      <c r="X77" s="6">
        <f>IF(ISERROR(VLOOKUP($U$77,'TAR FIN'!$A$1:$O$86,15,0)),0,VLOOKUP($U$77,'TAR FIN'!$A$1:$O$86,15,0))</f>
        <v>131.87</v>
      </c>
      <c r="Y77" s="6"/>
      <c r="Z77" s="6">
        <f ca="1">('TUSD BE'!$AM$18+'TUSD BF'!$AM$18+'TUSD CVA'!$AM$18)*1</f>
        <v>1067.0560320838438</v>
      </c>
      <c r="AA77" s="6">
        <f>('TE BE'!$AB$9+'TE BF'!$AB$9+'TE CVA'!$AB$9)*1</f>
        <v>116.42847759142431</v>
      </c>
      <c r="AB77" s="6">
        <f>$K$77*$V$77</f>
        <v>0</v>
      </c>
      <c r="AC77" s="6">
        <f>$M$77*$W$77</f>
        <v>16.075979999999998</v>
      </c>
      <c r="AD77" s="6">
        <f>$O$77*$X$77</f>
        <v>2.3736600000000001</v>
      </c>
      <c r="AE77" s="6">
        <f>$K$77*$Y$77</f>
        <v>0</v>
      </c>
      <c r="AF77" s="6">
        <f ca="1">$M$77*$Z$77</f>
        <v>19.207008577509185</v>
      </c>
      <c r="AG77" s="6">
        <f>$O$77*$AA$77</f>
        <v>2.0957125966456376</v>
      </c>
    </row>
    <row r="78" spans="1:33" ht="11.25" customHeight="1" x14ac:dyDescent="0.25">
      <c r="A78" s="4" t="s">
        <v>21</v>
      </c>
      <c r="B78" s="4" t="s">
        <v>22</v>
      </c>
      <c r="C78" s="4" t="s">
        <v>33</v>
      </c>
      <c r="D78" s="4" t="s">
        <v>24</v>
      </c>
      <c r="E78" s="4" t="s">
        <v>24</v>
      </c>
      <c r="F78" s="4" t="s">
        <v>25</v>
      </c>
      <c r="G78" s="4" t="s">
        <v>25</v>
      </c>
      <c r="H78" s="4" t="s">
        <v>36</v>
      </c>
      <c r="I78" s="5">
        <v>44501</v>
      </c>
      <c r="J78" s="6">
        <v>0</v>
      </c>
      <c r="K78" s="6">
        <v>0</v>
      </c>
      <c r="L78" s="6">
        <v>1.6E-2</v>
      </c>
      <c r="M78" s="6">
        <v>1.6E-2</v>
      </c>
      <c r="N78" s="6">
        <v>1.6E-2</v>
      </c>
      <c r="O78" s="6">
        <v>1.6E-2</v>
      </c>
      <c r="P78" s="6">
        <v>0</v>
      </c>
      <c r="Q78" s="4" t="s">
        <v>26</v>
      </c>
      <c r="R78" s="4">
        <v>0</v>
      </c>
      <c r="S78" s="6">
        <v>0</v>
      </c>
      <c r="T78" s="6">
        <v>5</v>
      </c>
      <c r="U78" s="6">
        <v>36</v>
      </c>
      <c r="V78" s="6">
        <f>IF(ISERROR(VLOOKUP($S$78,'TAR FIN'!$A$1:$O$86,15,0)),0,VLOOKUP($S$78,'TAR FIN'!$A$1:$O$86,15,0))</f>
        <v>0</v>
      </c>
      <c r="W78" s="6">
        <f>IF(ISERROR(VLOOKUP($T$78,'TAR FIN'!$A$1:$O$86,15,0)),0,VLOOKUP($T$78,'TAR FIN'!$A$1:$O$86,15,0))</f>
        <v>893.11</v>
      </c>
      <c r="X78" s="6">
        <f>IF(ISERROR(VLOOKUP($U$78,'TAR FIN'!$A$1:$O$86,15,0)),0,VLOOKUP($U$78,'TAR FIN'!$A$1:$O$86,15,0))</f>
        <v>131.87</v>
      </c>
      <c r="Y78" s="6"/>
      <c r="Z78" s="6">
        <f ca="1">('TUSD BE'!$AM$18+'TUSD BF'!$AM$18+'TUSD CVA'!$AM$18)*1</f>
        <v>1067.0560320838438</v>
      </c>
      <c r="AA78" s="6">
        <f>('TE BE'!$AB$9+'TE BF'!$AB$9+'TE CVA'!$AB$9)*1</f>
        <v>116.42847759142431</v>
      </c>
      <c r="AB78" s="6">
        <f>$K$78*$V$78</f>
        <v>0</v>
      </c>
      <c r="AC78" s="6">
        <f>$M$78*$W$78</f>
        <v>14.289760000000001</v>
      </c>
      <c r="AD78" s="6">
        <f>$O$78*$X$78</f>
        <v>2.1099200000000002</v>
      </c>
      <c r="AE78" s="6">
        <f>$K$78*$Y$78</f>
        <v>0</v>
      </c>
      <c r="AF78" s="6">
        <f ca="1">$M$78*$Z$78</f>
        <v>17.072896513341501</v>
      </c>
      <c r="AG78" s="6">
        <f>$O$78*$AA$78</f>
        <v>1.862855641462789</v>
      </c>
    </row>
    <row r="79" spans="1:33" ht="11.25" customHeight="1" x14ac:dyDescent="0.25">
      <c r="A79" s="4" t="s">
        <v>28</v>
      </c>
      <c r="B79" s="4" t="s">
        <v>22</v>
      </c>
      <c r="C79" s="4" t="s">
        <v>33</v>
      </c>
      <c r="D79" s="4" t="s">
        <v>24</v>
      </c>
      <c r="E79" s="4" t="s">
        <v>24</v>
      </c>
      <c r="F79" s="4" t="s">
        <v>25</v>
      </c>
      <c r="G79" s="4" t="s">
        <v>25</v>
      </c>
      <c r="H79" s="4" t="s">
        <v>36</v>
      </c>
      <c r="I79" s="5">
        <v>44501</v>
      </c>
      <c r="J79" s="6">
        <v>0</v>
      </c>
      <c r="K79" s="6">
        <v>0</v>
      </c>
      <c r="L79" s="6">
        <v>8.4000000000000005E-2</v>
      </c>
      <c r="M79" s="6">
        <v>8.4000000000000005E-2</v>
      </c>
      <c r="N79" s="6">
        <v>8.4000000000000005E-2</v>
      </c>
      <c r="O79" s="6">
        <v>8.4000000000000005E-2</v>
      </c>
      <c r="P79" s="6">
        <v>0</v>
      </c>
      <c r="Q79" s="4" t="s">
        <v>26</v>
      </c>
      <c r="R79" s="4">
        <v>0</v>
      </c>
      <c r="S79" s="6">
        <v>0</v>
      </c>
      <c r="T79" s="6">
        <v>5</v>
      </c>
      <c r="U79" s="6">
        <v>36</v>
      </c>
      <c r="V79" s="6">
        <f>IF(ISERROR(VLOOKUP($S$79,'TAR FIN'!$A$1:$O$86,15,0)),0,VLOOKUP($S$79,'TAR FIN'!$A$1:$O$86,15,0))</f>
        <v>0</v>
      </c>
      <c r="W79" s="6">
        <f>IF(ISERROR(VLOOKUP($T$79,'TAR FIN'!$A$1:$O$86,15,0)),0,VLOOKUP($T$79,'TAR FIN'!$A$1:$O$86,15,0))</f>
        <v>893.11</v>
      </c>
      <c r="X79" s="6">
        <f>IF(ISERROR(VLOOKUP($U$79,'TAR FIN'!$A$1:$O$86,15,0)),0,VLOOKUP($U$79,'TAR FIN'!$A$1:$O$86,15,0))</f>
        <v>131.87</v>
      </c>
      <c r="Y79" s="6"/>
      <c r="Z79" s="6">
        <f ca="1">('TUSD BE'!$AM$18+'TUSD BF'!$AM$18+'TUSD CVA'!$AM$18)*1</f>
        <v>1067.0560320838438</v>
      </c>
      <c r="AA79" s="6">
        <f>('TE BE'!$AB$9+'TE BF'!$AB$9+'TE CVA'!$AB$9)*1</f>
        <v>116.42847759142431</v>
      </c>
      <c r="AB79" s="6">
        <f>$K$79*$V$79</f>
        <v>0</v>
      </c>
      <c r="AC79" s="6">
        <f>$M$79*$W$79</f>
        <v>75.021240000000006</v>
      </c>
      <c r="AD79" s="6">
        <f>$O$79*$X$79</f>
        <v>11.07708</v>
      </c>
      <c r="AE79" s="6">
        <f>$K$79*$Y$79</f>
        <v>0</v>
      </c>
      <c r="AF79" s="6">
        <f ca="1">$M$79*$Z$79</f>
        <v>89.632706695042884</v>
      </c>
      <c r="AG79" s="6">
        <f>$O$79*$AA$79</f>
        <v>9.779992117679642</v>
      </c>
    </row>
    <row r="80" spans="1:33" ht="11.25" customHeight="1" x14ac:dyDescent="0.25">
      <c r="A80" s="4" t="s">
        <v>21</v>
      </c>
      <c r="B80" s="4" t="s">
        <v>22</v>
      </c>
      <c r="C80" s="4" t="s">
        <v>33</v>
      </c>
      <c r="D80" s="4" t="s">
        <v>24</v>
      </c>
      <c r="E80" s="4" t="s">
        <v>24</v>
      </c>
      <c r="F80" s="4" t="s">
        <v>25</v>
      </c>
      <c r="G80" s="4" t="s">
        <v>25</v>
      </c>
      <c r="H80" s="4" t="s">
        <v>36</v>
      </c>
      <c r="I80" s="5">
        <v>44531</v>
      </c>
      <c r="J80" s="6">
        <v>0</v>
      </c>
      <c r="K80" s="6">
        <v>0</v>
      </c>
      <c r="L80" s="6">
        <v>1.7999999999999999E-2</v>
      </c>
      <c r="M80" s="6">
        <v>1.7999999999999999E-2</v>
      </c>
      <c r="N80" s="6">
        <v>1.7999999999999999E-2</v>
      </c>
      <c r="O80" s="6">
        <v>1.7999999999999999E-2</v>
      </c>
      <c r="P80" s="6">
        <v>0</v>
      </c>
      <c r="Q80" s="4" t="s">
        <v>26</v>
      </c>
      <c r="R80" s="4">
        <v>0</v>
      </c>
      <c r="S80" s="6">
        <v>0</v>
      </c>
      <c r="T80" s="6">
        <v>5</v>
      </c>
      <c r="U80" s="6">
        <v>36</v>
      </c>
      <c r="V80" s="6">
        <f>IF(ISERROR(VLOOKUP($S$80,'TAR FIN'!$A$1:$O$86,15,0)),0,VLOOKUP($S$80,'TAR FIN'!$A$1:$O$86,15,0))</f>
        <v>0</v>
      </c>
      <c r="W80" s="6">
        <f>IF(ISERROR(VLOOKUP($T$80,'TAR FIN'!$A$1:$O$86,15,0)),0,VLOOKUP($T$80,'TAR FIN'!$A$1:$O$86,15,0))</f>
        <v>893.11</v>
      </c>
      <c r="X80" s="6">
        <f>IF(ISERROR(VLOOKUP($U$80,'TAR FIN'!$A$1:$O$86,15,0)),0,VLOOKUP($U$80,'TAR FIN'!$A$1:$O$86,15,0))</f>
        <v>131.87</v>
      </c>
      <c r="Y80" s="6"/>
      <c r="Z80" s="6">
        <f ca="1">('TUSD BE'!$AM$18+'TUSD BF'!$AM$18+'TUSD CVA'!$AM$18)*1</f>
        <v>1067.0560320838438</v>
      </c>
      <c r="AA80" s="6">
        <f>('TE BE'!$AB$9+'TE BF'!$AB$9+'TE CVA'!$AB$9)*1</f>
        <v>116.42847759142431</v>
      </c>
      <c r="AB80" s="6">
        <f>$K$80*$V$80</f>
        <v>0</v>
      </c>
      <c r="AC80" s="6">
        <f>$M$80*$W$80</f>
        <v>16.075979999999998</v>
      </c>
      <c r="AD80" s="6">
        <f>$O$80*$X$80</f>
        <v>2.3736600000000001</v>
      </c>
      <c r="AE80" s="6">
        <f>$K$80*$Y$80</f>
        <v>0</v>
      </c>
      <c r="AF80" s="6">
        <f ca="1">$M$80*$Z$80</f>
        <v>19.207008577509185</v>
      </c>
      <c r="AG80" s="6">
        <f>$O$80*$AA$80</f>
        <v>2.0957125966456376</v>
      </c>
    </row>
    <row r="81" spans="1:33" ht="11.25" customHeight="1" x14ac:dyDescent="0.25">
      <c r="A81" s="4" t="s">
        <v>28</v>
      </c>
      <c r="B81" s="4" t="s">
        <v>22</v>
      </c>
      <c r="C81" s="4" t="s">
        <v>33</v>
      </c>
      <c r="D81" s="4" t="s">
        <v>24</v>
      </c>
      <c r="E81" s="4" t="s">
        <v>24</v>
      </c>
      <c r="F81" s="4" t="s">
        <v>25</v>
      </c>
      <c r="G81" s="4" t="s">
        <v>25</v>
      </c>
      <c r="H81" s="4" t="s">
        <v>36</v>
      </c>
      <c r="I81" s="5">
        <v>44531</v>
      </c>
      <c r="J81" s="6">
        <v>0</v>
      </c>
      <c r="K81" s="6">
        <v>0</v>
      </c>
      <c r="L81" s="6">
        <v>5.7000000000000002E-2</v>
      </c>
      <c r="M81" s="6">
        <v>5.7000000000000002E-2</v>
      </c>
      <c r="N81" s="6">
        <v>5.7000000000000002E-2</v>
      </c>
      <c r="O81" s="6">
        <v>5.7000000000000002E-2</v>
      </c>
      <c r="P81" s="6">
        <v>0</v>
      </c>
      <c r="Q81" s="4" t="s">
        <v>26</v>
      </c>
      <c r="R81" s="4">
        <v>0</v>
      </c>
      <c r="S81" s="6">
        <v>0</v>
      </c>
      <c r="T81" s="6">
        <v>5</v>
      </c>
      <c r="U81" s="6">
        <v>36</v>
      </c>
      <c r="V81" s="6">
        <f>IF(ISERROR(VLOOKUP($S$81,'TAR FIN'!$A$1:$O$86,15,0)),0,VLOOKUP($S$81,'TAR FIN'!$A$1:$O$86,15,0))</f>
        <v>0</v>
      </c>
      <c r="W81" s="6">
        <f>IF(ISERROR(VLOOKUP($T$81,'TAR FIN'!$A$1:$O$86,15,0)),0,VLOOKUP($T$81,'TAR FIN'!$A$1:$O$86,15,0))</f>
        <v>893.11</v>
      </c>
      <c r="X81" s="6">
        <f>IF(ISERROR(VLOOKUP($U$81,'TAR FIN'!$A$1:$O$86,15,0)),0,VLOOKUP($U$81,'TAR FIN'!$A$1:$O$86,15,0))</f>
        <v>131.87</v>
      </c>
      <c r="Y81" s="6"/>
      <c r="Z81" s="6">
        <f ca="1">('TUSD BE'!$AM$18+'TUSD BF'!$AM$18+'TUSD CVA'!$AM$18)*1</f>
        <v>1067.0560320838438</v>
      </c>
      <c r="AA81" s="6">
        <f>('TE BE'!$AB$9+'TE BF'!$AB$9+'TE CVA'!$AB$9)*1</f>
        <v>116.42847759142431</v>
      </c>
      <c r="AB81" s="6">
        <f>$K$81*$V$81</f>
        <v>0</v>
      </c>
      <c r="AC81" s="6">
        <f>$M$81*$W$81</f>
        <v>50.907270000000004</v>
      </c>
      <c r="AD81" s="6">
        <f>$O$81*$X$81</f>
        <v>7.5165900000000008</v>
      </c>
      <c r="AE81" s="6">
        <f>$K$81*$Y$81</f>
        <v>0</v>
      </c>
      <c r="AF81" s="6">
        <f ca="1">$M$81*$Z$81</f>
        <v>60.822193828779099</v>
      </c>
      <c r="AG81" s="6">
        <f>$O$81*$AA$81</f>
        <v>6.6364232227111861</v>
      </c>
    </row>
    <row r="82" spans="1:33" ht="11.25" customHeight="1" x14ac:dyDescent="0.25">
      <c r="A82" s="4" t="s">
        <v>21</v>
      </c>
      <c r="B82" s="4" t="s">
        <v>22</v>
      </c>
      <c r="C82" s="4" t="s">
        <v>33</v>
      </c>
      <c r="D82" s="4" t="s">
        <v>24</v>
      </c>
      <c r="E82" s="4" t="s">
        <v>24</v>
      </c>
      <c r="F82" s="4" t="s">
        <v>25</v>
      </c>
      <c r="G82" s="4" t="s">
        <v>25</v>
      </c>
      <c r="H82" s="4" t="s">
        <v>36</v>
      </c>
      <c r="I82" s="5">
        <v>44562</v>
      </c>
      <c r="J82" s="6">
        <v>0</v>
      </c>
      <c r="K82" s="6">
        <v>0</v>
      </c>
      <c r="L82" s="6">
        <v>0.02</v>
      </c>
      <c r="M82" s="6">
        <v>0.02</v>
      </c>
      <c r="N82" s="6">
        <v>0.02</v>
      </c>
      <c r="O82" s="6">
        <v>0.02</v>
      </c>
      <c r="P82" s="6">
        <v>0</v>
      </c>
      <c r="Q82" s="4" t="s">
        <v>26</v>
      </c>
      <c r="R82" s="4">
        <v>0</v>
      </c>
      <c r="S82" s="6">
        <v>0</v>
      </c>
      <c r="T82" s="6">
        <v>5</v>
      </c>
      <c r="U82" s="6">
        <v>36</v>
      </c>
      <c r="V82" s="6">
        <f>IF(ISERROR(VLOOKUP($S$82,'TAR FIN'!$A$1:$O$86,15,0)),0,VLOOKUP($S$82,'TAR FIN'!$A$1:$O$86,15,0))</f>
        <v>0</v>
      </c>
      <c r="W82" s="6">
        <f>IF(ISERROR(VLOOKUP($T$82,'TAR FIN'!$A$1:$O$86,15,0)),0,VLOOKUP($T$82,'TAR FIN'!$A$1:$O$86,15,0))</f>
        <v>893.11</v>
      </c>
      <c r="X82" s="6">
        <f>IF(ISERROR(VLOOKUP($U$82,'TAR FIN'!$A$1:$O$86,15,0)),0,VLOOKUP($U$82,'TAR FIN'!$A$1:$O$86,15,0))</f>
        <v>131.87</v>
      </c>
      <c r="Y82" s="6"/>
      <c r="Z82" s="6">
        <f ca="1">('TUSD BE'!$AM$18+'TUSD BF'!$AM$18+'TUSD CVA'!$AM$18)*1</f>
        <v>1067.0560320838438</v>
      </c>
      <c r="AA82" s="6">
        <f>('TE BE'!$AB$9+'TE BF'!$AB$9+'TE CVA'!$AB$9)*1</f>
        <v>116.42847759142431</v>
      </c>
      <c r="AB82" s="6">
        <f>$K$82*$V$82</f>
        <v>0</v>
      </c>
      <c r="AC82" s="6">
        <f>$M$82*$W$82</f>
        <v>17.862200000000001</v>
      </c>
      <c r="AD82" s="6">
        <f>$O$82*$X$82</f>
        <v>2.6374</v>
      </c>
      <c r="AE82" s="6">
        <f>$K$82*$Y$82</f>
        <v>0</v>
      </c>
      <c r="AF82" s="6">
        <f ca="1">$M$82*$Z$82</f>
        <v>21.341120641676877</v>
      </c>
      <c r="AG82" s="6">
        <f>$O$82*$AA$82</f>
        <v>2.3285695518284864</v>
      </c>
    </row>
    <row r="83" spans="1:33" ht="11.25" customHeight="1" x14ac:dyDescent="0.25">
      <c r="A83" s="4" t="s">
        <v>21</v>
      </c>
      <c r="B83" s="4" t="s">
        <v>22</v>
      </c>
      <c r="C83" s="4" t="s">
        <v>33</v>
      </c>
      <c r="D83" s="4" t="s">
        <v>24</v>
      </c>
      <c r="E83" s="4" t="s">
        <v>24</v>
      </c>
      <c r="F83" s="4" t="s">
        <v>25</v>
      </c>
      <c r="G83" s="4" t="s">
        <v>25</v>
      </c>
      <c r="H83" s="4" t="s">
        <v>36</v>
      </c>
      <c r="I83" s="5">
        <v>44593</v>
      </c>
      <c r="J83" s="6">
        <v>0</v>
      </c>
      <c r="K83" s="6">
        <v>0</v>
      </c>
      <c r="L83" s="6">
        <v>0.02</v>
      </c>
      <c r="M83" s="6">
        <v>0.02</v>
      </c>
      <c r="N83" s="6">
        <v>0.02</v>
      </c>
      <c r="O83" s="6">
        <v>0.02</v>
      </c>
      <c r="P83" s="6">
        <v>0</v>
      </c>
      <c r="Q83" s="4" t="s">
        <v>26</v>
      </c>
      <c r="R83" s="4">
        <v>0</v>
      </c>
      <c r="S83" s="6">
        <v>0</v>
      </c>
      <c r="T83" s="6">
        <v>5</v>
      </c>
      <c r="U83" s="6">
        <v>36</v>
      </c>
      <c r="V83" s="6">
        <f>IF(ISERROR(VLOOKUP($S$83,'TAR FIN'!$A$1:$O$86,15,0)),0,VLOOKUP($S$83,'TAR FIN'!$A$1:$O$86,15,0))</f>
        <v>0</v>
      </c>
      <c r="W83" s="6">
        <f>IF(ISERROR(VLOOKUP($T$83,'TAR FIN'!$A$1:$O$86,15,0)),0,VLOOKUP($T$83,'TAR FIN'!$A$1:$O$86,15,0))</f>
        <v>893.11</v>
      </c>
      <c r="X83" s="6">
        <f>IF(ISERROR(VLOOKUP($U$83,'TAR FIN'!$A$1:$O$86,15,0)),0,VLOOKUP($U$83,'TAR FIN'!$A$1:$O$86,15,0))</f>
        <v>131.87</v>
      </c>
      <c r="Y83" s="6"/>
      <c r="Z83" s="6">
        <f ca="1">('TUSD BE'!$AM$18+'TUSD BF'!$AM$18+'TUSD CVA'!$AM$18)*1</f>
        <v>1067.0560320838438</v>
      </c>
      <c r="AA83" s="6">
        <f>('TE BE'!$AB$9+'TE BF'!$AB$9+'TE CVA'!$AB$9)*1</f>
        <v>116.42847759142431</v>
      </c>
      <c r="AB83" s="6">
        <f>$K$83*$V$83</f>
        <v>0</v>
      </c>
      <c r="AC83" s="6">
        <f>$M$83*$W$83</f>
        <v>17.862200000000001</v>
      </c>
      <c r="AD83" s="6">
        <f>$O$83*$X$83</f>
        <v>2.6374</v>
      </c>
      <c r="AE83" s="6">
        <f>$K$83*$Y$83</f>
        <v>0</v>
      </c>
      <c r="AF83" s="6">
        <f ca="1">$M$83*$Z$83</f>
        <v>21.341120641676877</v>
      </c>
      <c r="AG83" s="6">
        <f>$O$83*$AA$83</f>
        <v>2.3285695518284864</v>
      </c>
    </row>
    <row r="84" spans="1:33" ht="11.25" customHeight="1" x14ac:dyDescent="0.25">
      <c r="A84" s="4" t="s">
        <v>21</v>
      </c>
      <c r="B84" s="4" t="s">
        <v>22</v>
      </c>
      <c r="C84" s="4" t="s">
        <v>33</v>
      </c>
      <c r="D84" s="4" t="s">
        <v>24</v>
      </c>
      <c r="E84" s="4" t="s">
        <v>24</v>
      </c>
      <c r="F84" s="4" t="s">
        <v>25</v>
      </c>
      <c r="G84" s="4" t="s">
        <v>25</v>
      </c>
      <c r="H84" s="4" t="s">
        <v>36</v>
      </c>
      <c r="I84" s="5">
        <v>44621</v>
      </c>
      <c r="J84" s="6">
        <v>0</v>
      </c>
      <c r="K84" s="6">
        <v>0</v>
      </c>
      <c r="L84" s="6">
        <v>1.4999999999999999E-2</v>
      </c>
      <c r="M84" s="6">
        <v>1.4999999999999999E-2</v>
      </c>
      <c r="N84" s="6">
        <v>1.4999999999999999E-2</v>
      </c>
      <c r="O84" s="6">
        <v>1.4999999999999999E-2</v>
      </c>
      <c r="P84" s="6">
        <v>0</v>
      </c>
      <c r="Q84" s="4" t="s">
        <v>26</v>
      </c>
      <c r="R84" s="4">
        <v>0</v>
      </c>
      <c r="S84" s="6">
        <v>0</v>
      </c>
      <c r="T84" s="6">
        <v>5</v>
      </c>
      <c r="U84" s="6">
        <v>36</v>
      </c>
      <c r="V84" s="6">
        <f>IF(ISERROR(VLOOKUP($S$84,'TAR FIN'!$A$1:$O$86,15,0)),0,VLOOKUP($S$84,'TAR FIN'!$A$1:$O$86,15,0))</f>
        <v>0</v>
      </c>
      <c r="W84" s="6">
        <f>IF(ISERROR(VLOOKUP($T$84,'TAR FIN'!$A$1:$O$86,15,0)),0,VLOOKUP($T$84,'TAR FIN'!$A$1:$O$86,15,0))</f>
        <v>893.11</v>
      </c>
      <c r="X84" s="6">
        <f>IF(ISERROR(VLOOKUP($U$84,'TAR FIN'!$A$1:$O$86,15,0)),0,VLOOKUP($U$84,'TAR FIN'!$A$1:$O$86,15,0))</f>
        <v>131.87</v>
      </c>
      <c r="Y84" s="6"/>
      <c r="Z84" s="6">
        <f ca="1">('TUSD BE'!$AM$18+'TUSD BF'!$AM$18+'TUSD CVA'!$AM$18)*1</f>
        <v>1067.0560320838438</v>
      </c>
      <c r="AA84" s="6">
        <f>('TE BE'!$AB$9+'TE BF'!$AB$9+'TE CVA'!$AB$9)*1</f>
        <v>116.42847759142431</v>
      </c>
      <c r="AB84" s="6">
        <f>$K$84*$V$84</f>
        <v>0</v>
      </c>
      <c r="AC84" s="6">
        <f>$M$84*$W$84</f>
        <v>13.396649999999999</v>
      </c>
      <c r="AD84" s="6">
        <f>$O$84*$X$84</f>
        <v>1.9780500000000001</v>
      </c>
      <c r="AE84" s="6">
        <f>$K$84*$Y$84</f>
        <v>0</v>
      </c>
      <c r="AF84" s="6">
        <f ca="1">$M$84*$Z$84</f>
        <v>16.005840481257657</v>
      </c>
      <c r="AG84" s="6">
        <f>$O$84*$AA$84</f>
        <v>1.7464271638713647</v>
      </c>
    </row>
    <row r="85" spans="1:33" ht="11.25" customHeight="1" x14ac:dyDescent="0.25">
      <c r="A85" s="4" t="s">
        <v>21</v>
      </c>
      <c r="B85" s="4" t="s">
        <v>22</v>
      </c>
      <c r="C85" s="4" t="s">
        <v>33</v>
      </c>
      <c r="D85" s="4" t="s">
        <v>24</v>
      </c>
      <c r="E85" s="4" t="s">
        <v>24</v>
      </c>
      <c r="F85" s="4" t="s">
        <v>25</v>
      </c>
      <c r="G85" s="4" t="s">
        <v>25</v>
      </c>
      <c r="H85" s="4" t="s">
        <v>34</v>
      </c>
      <c r="I85" s="5">
        <v>44378</v>
      </c>
      <c r="J85" s="6">
        <v>0</v>
      </c>
      <c r="K85" s="6">
        <v>0</v>
      </c>
      <c r="L85" s="6">
        <v>2.1999999999999999E-2</v>
      </c>
      <c r="M85" s="6">
        <v>2.1999999999999999E-2</v>
      </c>
      <c r="N85" s="6">
        <v>2.1999999999999999E-2</v>
      </c>
      <c r="O85" s="6">
        <v>2.1999999999999999E-2</v>
      </c>
      <c r="P85" s="6">
        <v>0</v>
      </c>
      <c r="Q85" s="4" t="s">
        <v>26</v>
      </c>
      <c r="R85" s="4">
        <v>0</v>
      </c>
      <c r="S85" s="6">
        <v>0</v>
      </c>
      <c r="T85" s="6">
        <v>10</v>
      </c>
      <c r="U85" s="6">
        <v>57</v>
      </c>
      <c r="V85" s="6">
        <f>IF(ISERROR(VLOOKUP($S$85,'TAR FIN'!$A$1:$O$86,15,0)),0,VLOOKUP($S$85,'TAR FIN'!$A$1:$O$86,15,0))</f>
        <v>0</v>
      </c>
      <c r="W85" s="6">
        <f>IF(ISERROR(VLOOKUP($T$85,'TAR FIN'!$A$1:$O$86,15,0)),0,VLOOKUP($T$85,'TAR FIN'!$A$1:$O$86,15,0))</f>
        <v>1420.34</v>
      </c>
      <c r="X85" s="6">
        <f>IF(ISERROR(VLOOKUP($U$85,'TAR FIN'!$A$1:$O$86,15,0)),0,VLOOKUP($U$85,'TAR FIN'!$A$1:$O$86,15,0))</f>
        <v>131.87</v>
      </c>
      <c r="Y85" s="6"/>
      <c r="Z85" s="6">
        <f ca="1">('TUSD BE'!$AM$17+'TUSD BF'!$AM$17+'TUSD CVA'!$AM$17)*1</f>
        <v>1689.4816587731566</v>
      </c>
      <c r="AA85" s="6">
        <f>('TE BE'!$AB$8+'TE BF'!$AB$8+'TE CVA'!$AB$8)*1</f>
        <v>116.42847759142431</v>
      </c>
      <c r="AB85" s="6">
        <f>$K$85*$V$85</f>
        <v>0</v>
      </c>
      <c r="AC85" s="6">
        <f>$M$85*$W$85</f>
        <v>31.247479999999996</v>
      </c>
      <c r="AD85" s="6">
        <f>$O$85*$X$85</f>
        <v>2.9011399999999998</v>
      </c>
      <c r="AE85" s="6">
        <f>$K$85*$Y$85</f>
        <v>0</v>
      </c>
      <c r="AF85" s="6">
        <f ca="1">$M$85*$Z$85</f>
        <v>37.168596493009446</v>
      </c>
      <c r="AG85" s="6">
        <f>$O$85*$AA$85</f>
        <v>2.5614265070113347</v>
      </c>
    </row>
    <row r="86" spans="1:33" ht="11.25" customHeight="1" x14ac:dyDescent="0.25">
      <c r="A86" s="4" t="s">
        <v>21</v>
      </c>
      <c r="B86" s="4" t="s">
        <v>22</v>
      </c>
      <c r="C86" s="4" t="s">
        <v>33</v>
      </c>
      <c r="D86" s="4" t="s">
        <v>24</v>
      </c>
      <c r="E86" s="4" t="s">
        <v>24</v>
      </c>
      <c r="F86" s="4" t="s">
        <v>25</v>
      </c>
      <c r="G86" s="4" t="s">
        <v>25</v>
      </c>
      <c r="H86" s="4" t="s">
        <v>34</v>
      </c>
      <c r="I86" s="5">
        <v>44409</v>
      </c>
      <c r="J86" s="6">
        <v>0</v>
      </c>
      <c r="K86" s="6">
        <v>0</v>
      </c>
      <c r="L86" s="6">
        <v>2.3E-2</v>
      </c>
      <c r="M86" s="6">
        <v>2.3E-2</v>
      </c>
      <c r="N86" s="6">
        <v>2.3E-2</v>
      </c>
      <c r="O86" s="6">
        <v>2.3E-2</v>
      </c>
      <c r="P86" s="6">
        <v>0</v>
      </c>
      <c r="Q86" s="4" t="s">
        <v>26</v>
      </c>
      <c r="R86" s="4">
        <v>0</v>
      </c>
      <c r="S86" s="6">
        <v>0</v>
      </c>
      <c r="T86" s="6">
        <v>10</v>
      </c>
      <c r="U86" s="6">
        <v>57</v>
      </c>
      <c r="V86" s="6">
        <f>IF(ISERROR(VLOOKUP($S$86,'TAR FIN'!$A$1:$O$86,15,0)),0,VLOOKUP($S$86,'TAR FIN'!$A$1:$O$86,15,0))</f>
        <v>0</v>
      </c>
      <c r="W86" s="6">
        <f>IF(ISERROR(VLOOKUP($T$86,'TAR FIN'!$A$1:$O$86,15,0)),0,VLOOKUP($T$86,'TAR FIN'!$A$1:$O$86,15,0))</f>
        <v>1420.34</v>
      </c>
      <c r="X86" s="6">
        <f>IF(ISERROR(VLOOKUP($U$86,'TAR FIN'!$A$1:$O$86,15,0)),0,VLOOKUP($U$86,'TAR FIN'!$A$1:$O$86,15,0))</f>
        <v>131.87</v>
      </c>
      <c r="Y86" s="6"/>
      <c r="Z86" s="6">
        <f ca="1">('TUSD BE'!$AM$17+'TUSD BF'!$AM$17+'TUSD CVA'!$AM$17)*1</f>
        <v>1689.4816587731566</v>
      </c>
      <c r="AA86" s="6">
        <f>('TE BE'!$AB$8+'TE BF'!$AB$8+'TE CVA'!$AB$8)*1</f>
        <v>116.42847759142431</v>
      </c>
      <c r="AB86" s="6">
        <f>$K$86*$V$86</f>
        <v>0</v>
      </c>
      <c r="AC86" s="6">
        <f>$M$86*$W$86</f>
        <v>32.667819999999999</v>
      </c>
      <c r="AD86" s="6">
        <f>$O$86*$X$86</f>
        <v>3.03301</v>
      </c>
      <c r="AE86" s="6">
        <f>$K$86*$Y$86</f>
        <v>0</v>
      </c>
      <c r="AF86" s="6">
        <f ca="1">$M$86*$Z$86</f>
        <v>38.8580781517826</v>
      </c>
      <c r="AG86" s="6">
        <f>$O$86*$AA$86</f>
        <v>2.6778549846027593</v>
      </c>
    </row>
    <row r="87" spans="1:33" ht="11.25" customHeight="1" x14ac:dyDescent="0.25">
      <c r="A87" s="4" t="s">
        <v>21</v>
      </c>
      <c r="B87" s="4" t="s">
        <v>22</v>
      </c>
      <c r="C87" s="4" t="s">
        <v>33</v>
      </c>
      <c r="D87" s="4" t="s">
        <v>24</v>
      </c>
      <c r="E87" s="4" t="s">
        <v>24</v>
      </c>
      <c r="F87" s="4" t="s">
        <v>25</v>
      </c>
      <c r="G87" s="4" t="s">
        <v>25</v>
      </c>
      <c r="H87" s="4" t="s">
        <v>34</v>
      </c>
      <c r="I87" s="5">
        <v>44440</v>
      </c>
      <c r="J87" s="6">
        <v>0</v>
      </c>
      <c r="K87" s="6">
        <v>0</v>
      </c>
      <c r="L87" s="6">
        <v>2.5999999999999999E-2</v>
      </c>
      <c r="M87" s="6">
        <v>2.5999999999999999E-2</v>
      </c>
      <c r="N87" s="6">
        <v>2.5999999999999999E-2</v>
      </c>
      <c r="O87" s="6">
        <v>2.5999999999999999E-2</v>
      </c>
      <c r="P87" s="6">
        <v>0</v>
      </c>
      <c r="Q87" s="4" t="s">
        <v>26</v>
      </c>
      <c r="R87" s="4">
        <v>0</v>
      </c>
      <c r="S87" s="6">
        <v>0</v>
      </c>
      <c r="T87" s="6">
        <v>10</v>
      </c>
      <c r="U87" s="6">
        <v>57</v>
      </c>
      <c r="V87" s="6">
        <f>IF(ISERROR(VLOOKUP($S$87,'TAR FIN'!$A$1:$O$86,15,0)),0,VLOOKUP($S$87,'TAR FIN'!$A$1:$O$86,15,0))</f>
        <v>0</v>
      </c>
      <c r="W87" s="6">
        <f>IF(ISERROR(VLOOKUP($T$87,'TAR FIN'!$A$1:$O$86,15,0)),0,VLOOKUP($T$87,'TAR FIN'!$A$1:$O$86,15,0))</f>
        <v>1420.34</v>
      </c>
      <c r="X87" s="6">
        <f>IF(ISERROR(VLOOKUP($U$87,'TAR FIN'!$A$1:$O$86,15,0)),0,VLOOKUP($U$87,'TAR FIN'!$A$1:$O$86,15,0))</f>
        <v>131.87</v>
      </c>
      <c r="Y87" s="6"/>
      <c r="Z87" s="6">
        <f ca="1">('TUSD BE'!$AM$17+'TUSD BF'!$AM$17+'TUSD CVA'!$AM$17)*1</f>
        <v>1689.4816587731566</v>
      </c>
      <c r="AA87" s="6">
        <f>('TE BE'!$AB$8+'TE BF'!$AB$8+'TE CVA'!$AB$8)*1</f>
        <v>116.42847759142431</v>
      </c>
      <c r="AB87" s="6">
        <f>$K$87*$V$87</f>
        <v>0</v>
      </c>
      <c r="AC87" s="6">
        <f>$M$87*$W$87</f>
        <v>36.928839999999994</v>
      </c>
      <c r="AD87" s="6">
        <f>$O$87*$X$87</f>
        <v>3.42862</v>
      </c>
      <c r="AE87" s="6">
        <f>$K$87*$Y$87</f>
        <v>0</v>
      </c>
      <c r="AF87" s="6">
        <f ca="1">$M$87*$Z$87</f>
        <v>43.926523128102069</v>
      </c>
      <c r="AG87" s="6">
        <f>$O$87*$AA$87</f>
        <v>3.0271404173770318</v>
      </c>
    </row>
    <row r="88" spans="1:33" ht="11.25" customHeight="1" x14ac:dyDescent="0.25">
      <c r="A88" s="4" t="s">
        <v>21</v>
      </c>
      <c r="B88" s="4" t="s">
        <v>22</v>
      </c>
      <c r="C88" s="4" t="s">
        <v>33</v>
      </c>
      <c r="D88" s="4" t="s">
        <v>24</v>
      </c>
      <c r="E88" s="4" t="s">
        <v>24</v>
      </c>
      <c r="F88" s="4" t="s">
        <v>25</v>
      </c>
      <c r="G88" s="4" t="s">
        <v>25</v>
      </c>
      <c r="H88" s="4" t="s">
        <v>34</v>
      </c>
      <c r="I88" s="5">
        <v>44470</v>
      </c>
      <c r="J88" s="6">
        <v>0</v>
      </c>
      <c r="K88" s="6">
        <v>0</v>
      </c>
      <c r="L88" s="6">
        <v>2.4E-2</v>
      </c>
      <c r="M88" s="6">
        <v>2.4E-2</v>
      </c>
      <c r="N88" s="6">
        <v>2.4E-2</v>
      </c>
      <c r="O88" s="6">
        <v>2.4E-2</v>
      </c>
      <c r="P88" s="6">
        <v>0</v>
      </c>
      <c r="Q88" s="4" t="s">
        <v>26</v>
      </c>
      <c r="R88" s="4">
        <v>0</v>
      </c>
      <c r="S88" s="6">
        <v>0</v>
      </c>
      <c r="T88" s="6">
        <v>10</v>
      </c>
      <c r="U88" s="6">
        <v>57</v>
      </c>
      <c r="V88" s="6">
        <f>IF(ISERROR(VLOOKUP($S$88,'TAR FIN'!$A$1:$O$86,15,0)),0,VLOOKUP($S$88,'TAR FIN'!$A$1:$O$86,15,0))</f>
        <v>0</v>
      </c>
      <c r="W88" s="6">
        <f>IF(ISERROR(VLOOKUP($T$88,'TAR FIN'!$A$1:$O$86,15,0)),0,VLOOKUP($T$88,'TAR FIN'!$A$1:$O$86,15,0))</f>
        <v>1420.34</v>
      </c>
      <c r="X88" s="6">
        <f>IF(ISERROR(VLOOKUP($U$88,'TAR FIN'!$A$1:$O$86,15,0)),0,VLOOKUP($U$88,'TAR FIN'!$A$1:$O$86,15,0))</f>
        <v>131.87</v>
      </c>
      <c r="Y88" s="6"/>
      <c r="Z88" s="6">
        <f ca="1">('TUSD BE'!$AM$17+'TUSD BF'!$AM$17+'TUSD CVA'!$AM$17)*1</f>
        <v>1689.4816587731566</v>
      </c>
      <c r="AA88" s="6">
        <f>('TE BE'!$AB$8+'TE BF'!$AB$8+'TE CVA'!$AB$8)*1</f>
        <v>116.42847759142431</v>
      </c>
      <c r="AB88" s="6">
        <f>$K$88*$V$88</f>
        <v>0</v>
      </c>
      <c r="AC88" s="6">
        <f>$M$88*$W$88</f>
        <v>34.088160000000002</v>
      </c>
      <c r="AD88" s="6">
        <f>$O$88*$X$88</f>
        <v>3.1648800000000001</v>
      </c>
      <c r="AE88" s="6">
        <f>$K$88*$Y$88</f>
        <v>0</v>
      </c>
      <c r="AF88" s="6">
        <f ca="1">$M$88*$Z$88</f>
        <v>40.547559810555761</v>
      </c>
      <c r="AG88" s="6">
        <f>$O$88*$AA$88</f>
        <v>2.7942834621941834</v>
      </c>
    </row>
    <row r="89" spans="1:33" ht="11.25" customHeight="1" x14ac:dyDescent="0.25">
      <c r="A89" s="4" t="s">
        <v>21</v>
      </c>
      <c r="B89" s="4" t="s">
        <v>22</v>
      </c>
      <c r="C89" s="4" t="s">
        <v>33</v>
      </c>
      <c r="D89" s="4" t="s">
        <v>24</v>
      </c>
      <c r="E89" s="4" t="s">
        <v>24</v>
      </c>
      <c r="F89" s="4" t="s">
        <v>25</v>
      </c>
      <c r="G89" s="4" t="s">
        <v>25</v>
      </c>
      <c r="H89" s="4" t="s">
        <v>34</v>
      </c>
      <c r="I89" s="5">
        <v>44501</v>
      </c>
      <c r="J89" s="6">
        <v>0</v>
      </c>
      <c r="K89" s="6">
        <v>0</v>
      </c>
      <c r="L89" s="6">
        <v>2.1999999999999999E-2</v>
      </c>
      <c r="M89" s="6">
        <v>2.1999999999999999E-2</v>
      </c>
      <c r="N89" s="6">
        <v>2.1999999999999999E-2</v>
      </c>
      <c r="O89" s="6">
        <v>2.1999999999999999E-2</v>
      </c>
      <c r="P89" s="6">
        <v>0</v>
      </c>
      <c r="Q89" s="4" t="s">
        <v>26</v>
      </c>
      <c r="R89" s="4">
        <v>0</v>
      </c>
      <c r="S89" s="6">
        <v>0</v>
      </c>
      <c r="T89" s="6">
        <v>10</v>
      </c>
      <c r="U89" s="6">
        <v>57</v>
      </c>
      <c r="V89" s="6">
        <f>IF(ISERROR(VLOOKUP($S$89,'TAR FIN'!$A$1:$O$86,15,0)),0,VLOOKUP($S$89,'TAR FIN'!$A$1:$O$86,15,0))</f>
        <v>0</v>
      </c>
      <c r="W89" s="6">
        <f>IF(ISERROR(VLOOKUP($T$89,'TAR FIN'!$A$1:$O$86,15,0)),0,VLOOKUP($T$89,'TAR FIN'!$A$1:$O$86,15,0))</f>
        <v>1420.34</v>
      </c>
      <c r="X89" s="6">
        <f>IF(ISERROR(VLOOKUP($U$89,'TAR FIN'!$A$1:$O$86,15,0)),0,VLOOKUP($U$89,'TAR FIN'!$A$1:$O$86,15,0))</f>
        <v>131.87</v>
      </c>
      <c r="Y89" s="6"/>
      <c r="Z89" s="6">
        <f ca="1">('TUSD BE'!$AM$17+'TUSD BF'!$AM$17+'TUSD CVA'!$AM$17)*1</f>
        <v>1689.4816587731566</v>
      </c>
      <c r="AA89" s="6">
        <f>('TE BE'!$AB$8+'TE BF'!$AB$8+'TE CVA'!$AB$8)*1</f>
        <v>116.42847759142431</v>
      </c>
      <c r="AB89" s="6">
        <f>$K$89*$V$89</f>
        <v>0</v>
      </c>
      <c r="AC89" s="6">
        <f>$M$89*$W$89</f>
        <v>31.247479999999996</v>
      </c>
      <c r="AD89" s="6">
        <f>$O$89*$X$89</f>
        <v>2.9011399999999998</v>
      </c>
      <c r="AE89" s="6">
        <f>$K$89*$Y$89</f>
        <v>0</v>
      </c>
      <c r="AF89" s="6">
        <f ca="1">$M$89*$Z$89</f>
        <v>37.168596493009446</v>
      </c>
      <c r="AG89" s="6">
        <f>$O$89*$AA$89</f>
        <v>2.5614265070113347</v>
      </c>
    </row>
    <row r="90" spans="1:33" ht="11.25" customHeight="1" x14ac:dyDescent="0.25">
      <c r="A90" s="4" t="s">
        <v>21</v>
      </c>
      <c r="B90" s="4" t="s">
        <v>22</v>
      </c>
      <c r="C90" s="4" t="s">
        <v>33</v>
      </c>
      <c r="D90" s="4" t="s">
        <v>24</v>
      </c>
      <c r="E90" s="4" t="s">
        <v>24</v>
      </c>
      <c r="F90" s="4" t="s">
        <v>25</v>
      </c>
      <c r="G90" s="4" t="s">
        <v>25</v>
      </c>
      <c r="H90" s="4" t="s">
        <v>34</v>
      </c>
      <c r="I90" s="5">
        <v>44531</v>
      </c>
      <c r="J90" s="6">
        <v>0</v>
      </c>
      <c r="K90" s="6">
        <v>0</v>
      </c>
      <c r="L90" s="6">
        <v>2.7E-2</v>
      </c>
      <c r="M90" s="6">
        <v>2.7E-2</v>
      </c>
      <c r="N90" s="6">
        <v>2.7E-2</v>
      </c>
      <c r="O90" s="6">
        <v>2.7E-2</v>
      </c>
      <c r="P90" s="6">
        <v>0</v>
      </c>
      <c r="Q90" s="4" t="s">
        <v>26</v>
      </c>
      <c r="R90" s="4">
        <v>0</v>
      </c>
      <c r="S90" s="6">
        <v>0</v>
      </c>
      <c r="T90" s="6">
        <v>10</v>
      </c>
      <c r="U90" s="6">
        <v>57</v>
      </c>
      <c r="V90" s="6">
        <f>IF(ISERROR(VLOOKUP($S$90,'TAR FIN'!$A$1:$O$86,15,0)),0,VLOOKUP($S$90,'TAR FIN'!$A$1:$O$86,15,0))</f>
        <v>0</v>
      </c>
      <c r="W90" s="6">
        <f>IF(ISERROR(VLOOKUP($T$90,'TAR FIN'!$A$1:$O$86,15,0)),0,VLOOKUP($T$90,'TAR FIN'!$A$1:$O$86,15,0))</f>
        <v>1420.34</v>
      </c>
      <c r="X90" s="6">
        <f>IF(ISERROR(VLOOKUP($U$90,'TAR FIN'!$A$1:$O$86,15,0)),0,VLOOKUP($U$90,'TAR FIN'!$A$1:$O$86,15,0))</f>
        <v>131.87</v>
      </c>
      <c r="Y90" s="6"/>
      <c r="Z90" s="6">
        <f ca="1">('TUSD BE'!$AM$17+'TUSD BF'!$AM$17+'TUSD CVA'!$AM$17)*1</f>
        <v>1689.4816587731566</v>
      </c>
      <c r="AA90" s="6">
        <f>('TE BE'!$AB$8+'TE BF'!$AB$8+'TE CVA'!$AB$8)*1</f>
        <v>116.42847759142431</v>
      </c>
      <c r="AB90" s="6">
        <f>$K$90*$V$90</f>
        <v>0</v>
      </c>
      <c r="AC90" s="6">
        <f>$M$90*$W$90</f>
        <v>38.349179999999997</v>
      </c>
      <c r="AD90" s="6">
        <f>$O$90*$X$90</f>
        <v>3.5604900000000002</v>
      </c>
      <c r="AE90" s="6">
        <f>$K$90*$Y$90</f>
        <v>0</v>
      </c>
      <c r="AF90" s="6">
        <f ca="1">$M$90*$Z$90</f>
        <v>45.61600478687523</v>
      </c>
      <c r="AG90" s="6">
        <f>$O$90*$AA$90</f>
        <v>3.1435688949684564</v>
      </c>
    </row>
    <row r="91" spans="1:33" ht="11.25" customHeight="1" x14ac:dyDescent="0.25">
      <c r="A91" s="4" t="s">
        <v>21</v>
      </c>
      <c r="B91" s="4" t="s">
        <v>22</v>
      </c>
      <c r="C91" s="4" t="s">
        <v>33</v>
      </c>
      <c r="D91" s="4" t="s">
        <v>24</v>
      </c>
      <c r="E91" s="4" t="s">
        <v>24</v>
      </c>
      <c r="F91" s="4" t="s">
        <v>25</v>
      </c>
      <c r="G91" s="4" t="s">
        <v>25</v>
      </c>
      <c r="H91" s="4" t="s">
        <v>34</v>
      </c>
      <c r="I91" s="5">
        <v>44562</v>
      </c>
      <c r="J91" s="6">
        <v>0</v>
      </c>
      <c r="K91" s="6">
        <v>0</v>
      </c>
      <c r="L91" s="6">
        <v>2.9000000000000001E-2</v>
      </c>
      <c r="M91" s="6">
        <v>2.9000000000000001E-2</v>
      </c>
      <c r="N91" s="6">
        <v>2.9000000000000001E-2</v>
      </c>
      <c r="O91" s="6">
        <v>2.9000000000000001E-2</v>
      </c>
      <c r="P91" s="6">
        <v>0</v>
      </c>
      <c r="Q91" s="4" t="s">
        <v>26</v>
      </c>
      <c r="R91" s="4">
        <v>0</v>
      </c>
      <c r="S91" s="6">
        <v>0</v>
      </c>
      <c r="T91" s="6">
        <v>10</v>
      </c>
      <c r="U91" s="6">
        <v>57</v>
      </c>
      <c r="V91" s="6">
        <f>IF(ISERROR(VLOOKUP($S$91,'TAR FIN'!$A$1:$O$86,15,0)),0,VLOOKUP($S$91,'TAR FIN'!$A$1:$O$86,15,0))</f>
        <v>0</v>
      </c>
      <c r="W91" s="6">
        <f>IF(ISERROR(VLOOKUP($T$91,'TAR FIN'!$A$1:$O$86,15,0)),0,VLOOKUP($T$91,'TAR FIN'!$A$1:$O$86,15,0))</f>
        <v>1420.34</v>
      </c>
      <c r="X91" s="6">
        <f>IF(ISERROR(VLOOKUP($U$91,'TAR FIN'!$A$1:$O$86,15,0)),0,VLOOKUP($U$91,'TAR FIN'!$A$1:$O$86,15,0))</f>
        <v>131.87</v>
      </c>
      <c r="Y91" s="6"/>
      <c r="Z91" s="6">
        <f ca="1">('TUSD BE'!$AM$17+'TUSD BF'!$AM$17+'TUSD CVA'!$AM$17)*1</f>
        <v>1689.4816587731566</v>
      </c>
      <c r="AA91" s="6">
        <f>('TE BE'!$AB$8+'TE BF'!$AB$8+'TE CVA'!$AB$8)*1</f>
        <v>116.42847759142431</v>
      </c>
      <c r="AB91" s="6">
        <f>$K$91*$V$91</f>
        <v>0</v>
      </c>
      <c r="AC91" s="6">
        <f>$M$91*$W$91</f>
        <v>41.189860000000003</v>
      </c>
      <c r="AD91" s="6">
        <f>$O$91*$X$91</f>
        <v>3.8242300000000005</v>
      </c>
      <c r="AE91" s="6">
        <f>$K$91*$Y$91</f>
        <v>0</v>
      </c>
      <c r="AF91" s="6">
        <f ca="1">$M$91*$Z$91</f>
        <v>48.994968104421545</v>
      </c>
      <c r="AG91" s="6">
        <f>$O$91*$AA$91</f>
        <v>3.3764258501513051</v>
      </c>
    </row>
    <row r="92" spans="1:33" ht="11.25" customHeight="1" x14ac:dyDescent="0.25">
      <c r="A92" s="4" t="s">
        <v>21</v>
      </c>
      <c r="B92" s="4" t="s">
        <v>22</v>
      </c>
      <c r="C92" s="4" t="s">
        <v>33</v>
      </c>
      <c r="D92" s="4" t="s">
        <v>24</v>
      </c>
      <c r="E92" s="4" t="s">
        <v>24</v>
      </c>
      <c r="F92" s="4" t="s">
        <v>25</v>
      </c>
      <c r="G92" s="4" t="s">
        <v>25</v>
      </c>
      <c r="H92" s="4" t="s">
        <v>34</v>
      </c>
      <c r="I92" s="5">
        <v>44593</v>
      </c>
      <c r="J92" s="6">
        <v>0</v>
      </c>
      <c r="K92" s="6">
        <v>0</v>
      </c>
      <c r="L92" s="6">
        <v>2.9000000000000001E-2</v>
      </c>
      <c r="M92" s="6">
        <v>2.9000000000000001E-2</v>
      </c>
      <c r="N92" s="6">
        <v>2.9000000000000001E-2</v>
      </c>
      <c r="O92" s="6">
        <v>2.9000000000000001E-2</v>
      </c>
      <c r="P92" s="6">
        <v>0</v>
      </c>
      <c r="Q92" s="4" t="s">
        <v>26</v>
      </c>
      <c r="R92" s="4">
        <v>0</v>
      </c>
      <c r="S92" s="6">
        <v>0</v>
      </c>
      <c r="T92" s="6">
        <v>10</v>
      </c>
      <c r="U92" s="6">
        <v>57</v>
      </c>
      <c r="V92" s="6">
        <f>IF(ISERROR(VLOOKUP($S$92,'TAR FIN'!$A$1:$O$86,15,0)),0,VLOOKUP($S$92,'TAR FIN'!$A$1:$O$86,15,0))</f>
        <v>0</v>
      </c>
      <c r="W92" s="6">
        <f>IF(ISERROR(VLOOKUP($T$92,'TAR FIN'!$A$1:$O$86,15,0)),0,VLOOKUP($T$92,'TAR FIN'!$A$1:$O$86,15,0))</f>
        <v>1420.34</v>
      </c>
      <c r="X92" s="6">
        <f>IF(ISERROR(VLOOKUP($U$92,'TAR FIN'!$A$1:$O$86,15,0)),0,VLOOKUP($U$92,'TAR FIN'!$A$1:$O$86,15,0))</f>
        <v>131.87</v>
      </c>
      <c r="Y92" s="6"/>
      <c r="Z92" s="6">
        <f ca="1">('TUSD BE'!$AM$17+'TUSD BF'!$AM$17+'TUSD CVA'!$AM$17)*1</f>
        <v>1689.4816587731566</v>
      </c>
      <c r="AA92" s="6">
        <f>('TE BE'!$AB$8+'TE BF'!$AB$8+'TE CVA'!$AB$8)*1</f>
        <v>116.42847759142431</v>
      </c>
      <c r="AB92" s="6">
        <f>$K$92*$V$92</f>
        <v>0</v>
      </c>
      <c r="AC92" s="6">
        <f>$M$92*$W$92</f>
        <v>41.189860000000003</v>
      </c>
      <c r="AD92" s="6">
        <f>$O$92*$X$92</f>
        <v>3.8242300000000005</v>
      </c>
      <c r="AE92" s="6">
        <f>$K$92*$Y$92</f>
        <v>0</v>
      </c>
      <c r="AF92" s="6">
        <f ca="1">$M$92*$Z$92</f>
        <v>48.994968104421545</v>
      </c>
      <c r="AG92" s="6">
        <f>$O$92*$AA$92</f>
        <v>3.3764258501513051</v>
      </c>
    </row>
    <row r="93" spans="1:33" ht="11.25" customHeight="1" x14ac:dyDescent="0.25">
      <c r="A93" s="4" t="s">
        <v>21</v>
      </c>
      <c r="B93" s="4" t="s">
        <v>22</v>
      </c>
      <c r="C93" s="4" t="s">
        <v>33</v>
      </c>
      <c r="D93" s="4" t="s">
        <v>24</v>
      </c>
      <c r="E93" s="4" t="s">
        <v>24</v>
      </c>
      <c r="F93" s="4" t="s">
        <v>25</v>
      </c>
      <c r="G93" s="4" t="s">
        <v>25</v>
      </c>
      <c r="H93" s="4" t="s">
        <v>34</v>
      </c>
      <c r="I93" s="5">
        <v>44621</v>
      </c>
      <c r="J93" s="6">
        <v>0</v>
      </c>
      <c r="K93" s="6">
        <v>0</v>
      </c>
      <c r="L93" s="6">
        <v>2.4E-2</v>
      </c>
      <c r="M93" s="6">
        <v>2.4E-2</v>
      </c>
      <c r="N93" s="6">
        <v>2.4E-2</v>
      </c>
      <c r="O93" s="6">
        <v>2.4E-2</v>
      </c>
      <c r="P93" s="6">
        <v>0</v>
      </c>
      <c r="Q93" s="4" t="s">
        <v>26</v>
      </c>
      <c r="R93" s="4">
        <v>0</v>
      </c>
      <c r="S93" s="6">
        <v>0</v>
      </c>
      <c r="T93" s="6">
        <v>10</v>
      </c>
      <c r="U93" s="6">
        <v>57</v>
      </c>
      <c r="V93" s="6">
        <f>IF(ISERROR(VLOOKUP($S$93,'TAR FIN'!$A$1:$O$86,15,0)),0,VLOOKUP($S$93,'TAR FIN'!$A$1:$O$86,15,0))</f>
        <v>0</v>
      </c>
      <c r="W93" s="6">
        <f>IF(ISERROR(VLOOKUP($T$93,'TAR FIN'!$A$1:$O$86,15,0)),0,VLOOKUP($T$93,'TAR FIN'!$A$1:$O$86,15,0))</f>
        <v>1420.34</v>
      </c>
      <c r="X93" s="6">
        <f>IF(ISERROR(VLOOKUP($U$93,'TAR FIN'!$A$1:$O$86,15,0)),0,VLOOKUP($U$93,'TAR FIN'!$A$1:$O$86,15,0))</f>
        <v>131.87</v>
      </c>
      <c r="Y93" s="6"/>
      <c r="Z93" s="6">
        <f ca="1">('TUSD BE'!$AM$17+'TUSD BF'!$AM$17+'TUSD CVA'!$AM$17)*1</f>
        <v>1689.4816587731566</v>
      </c>
      <c r="AA93" s="6">
        <f>('TE BE'!$AB$8+'TE BF'!$AB$8+'TE CVA'!$AB$8)*1</f>
        <v>116.42847759142431</v>
      </c>
      <c r="AB93" s="6">
        <f>$K$93*$V$93</f>
        <v>0</v>
      </c>
      <c r="AC93" s="6">
        <f>$M$93*$W$93</f>
        <v>34.088160000000002</v>
      </c>
      <c r="AD93" s="6">
        <f>$O$93*$X$93</f>
        <v>3.1648800000000001</v>
      </c>
      <c r="AE93" s="6">
        <f>$K$93*$Y$93</f>
        <v>0</v>
      </c>
      <c r="AF93" s="6">
        <f ca="1">$M$93*$Z$93</f>
        <v>40.547559810555761</v>
      </c>
      <c r="AG93" s="6">
        <f>$O$93*$AA$93</f>
        <v>2.7942834621941834</v>
      </c>
    </row>
    <row r="94" spans="1:3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24</v>
      </c>
      <c r="F94" s="4" t="s">
        <v>25</v>
      </c>
      <c r="G94" s="4" t="s">
        <v>25</v>
      </c>
      <c r="H94" s="4" t="s">
        <v>25</v>
      </c>
      <c r="I94" s="5">
        <v>44378</v>
      </c>
      <c r="J94" s="6">
        <v>0</v>
      </c>
      <c r="K94" s="6">
        <v>0</v>
      </c>
      <c r="L94" s="6">
        <v>990.41099999999994</v>
      </c>
      <c r="M94" s="6">
        <v>990.41099999999994</v>
      </c>
      <c r="N94" s="6">
        <v>990.41099999999994</v>
      </c>
      <c r="O94" s="6">
        <v>990.41099999999994</v>
      </c>
      <c r="P94" s="6">
        <v>6042</v>
      </c>
      <c r="Q94" s="4" t="s">
        <v>26</v>
      </c>
      <c r="R94" s="4">
        <v>0</v>
      </c>
      <c r="S94" s="6">
        <v>0</v>
      </c>
      <c r="T94" s="6">
        <v>24</v>
      </c>
      <c r="U94" s="6">
        <v>26</v>
      </c>
      <c r="V94" s="6">
        <f>IF(ISERROR(VLOOKUP($S$94,'TAR FIN'!$A$1:$O$86,15,0)),0,VLOOKUP($S$94,'TAR FIN'!$A$1:$O$86,15,0))</f>
        <v>0</v>
      </c>
      <c r="W94" s="6">
        <f>IF(ISERROR(VLOOKUP($T$94,'TAR FIN'!$A$1:$O$86,15,0)),0,VLOOKUP($T$94,'TAR FIN'!$A$1:$O$86,15,0))</f>
        <v>556.84</v>
      </c>
      <c r="X94" s="6">
        <f>IF(ISERROR(VLOOKUP($U$94,'TAR FIN'!$A$1:$O$86,15,0)),0,VLOOKUP($U$94,'TAR FIN'!$A$1:$O$86,15,0))</f>
        <v>131.87</v>
      </c>
      <c r="Y94" s="6"/>
      <c r="Z94" s="6">
        <f ca="1">('TUSD BE'!$AM$20+'TUSD BF'!$AM$20+'TUSD CVA'!$AM$20)*1</f>
        <v>670.0842907267272</v>
      </c>
      <c r="AA94" s="6">
        <f>('TE BE'!$AB$11+'TE BF'!$AB$11+'TE CVA'!$AB$11)*1</f>
        <v>116.42847759142431</v>
      </c>
      <c r="AB94" s="6">
        <f>$K$94*$V$94</f>
        <v>0</v>
      </c>
      <c r="AC94" s="6">
        <f>$M$94*$W$94</f>
        <v>551500.46123999998</v>
      </c>
      <c r="AD94" s="6">
        <f>$O$94*$X$94</f>
        <v>130605.49857</v>
      </c>
      <c r="AE94" s="6">
        <f>$K$94*$Y$94</f>
        <v>0</v>
      </c>
      <c r="AF94" s="6">
        <f ca="1">$M$94*$Z$94</f>
        <v>663658.85246294853</v>
      </c>
      <c r="AG94" s="6">
        <f>$O$94*$AA$94</f>
        <v>115312.04491980014</v>
      </c>
    </row>
    <row r="95" spans="1:33" ht="11.25" customHeight="1" x14ac:dyDescent="0.25">
      <c r="A95" s="4" t="s">
        <v>27</v>
      </c>
      <c r="B95" s="4" t="s">
        <v>22</v>
      </c>
      <c r="C95" s="4" t="s">
        <v>23</v>
      </c>
      <c r="D95" s="4" t="s">
        <v>24</v>
      </c>
      <c r="E95" s="4" t="s">
        <v>24</v>
      </c>
      <c r="F95" s="4" t="s">
        <v>25</v>
      </c>
      <c r="G95" s="4" t="s">
        <v>25</v>
      </c>
      <c r="H95" s="4" t="s">
        <v>25</v>
      </c>
      <c r="I95" s="5">
        <v>44378</v>
      </c>
      <c r="J95" s="6">
        <v>0</v>
      </c>
      <c r="K95" s="6">
        <v>0</v>
      </c>
      <c r="L95" s="6">
        <v>-1.371</v>
      </c>
      <c r="M95" s="6">
        <v>-1.371</v>
      </c>
      <c r="N95" s="6">
        <v>-1.371</v>
      </c>
      <c r="O95" s="6">
        <v>-1.371</v>
      </c>
      <c r="P95" s="6">
        <v>0</v>
      </c>
      <c r="Q95" s="4" t="s">
        <v>26</v>
      </c>
      <c r="R95" s="4">
        <v>0</v>
      </c>
      <c r="S95" s="6">
        <v>0</v>
      </c>
      <c r="T95" s="6">
        <v>24</v>
      </c>
      <c r="U95" s="6">
        <v>26</v>
      </c>
      <c r="V95" s="6">
        <f>IF(ISERROR(VLOOKUP($S$95,'TAR FIN'!$A$1:$O$86,15,0)),0,VLOOKUP($S$95,'TAR FIN'!$A$1:$O$86,15,0))</f>
        <v>0</v>
      </c>
      <c r="W95" s="6">
        <f>IF(ISERROR(VLOOKUP($T$95,'TAR FIN'!$A$1:$O$86,15,0)),0,VLOOKUP($T$95,'TAR FIN'!$A$1:$O$86,15,0))</f>
        <v>556.84</v>
      </c>
      <c r="X95" s="6">
        <f>IF(ISERROR(VLOOKUP($U$95,'TAR FIN'!$A$1:$O$86,15,0)),0,VLOOKUP($U$95,'TAR FIN'!$A$1:$O$86,15,0))</f>
        <v>131.87</v>
      </c>
      <c r="Y95" s="6"/>
      <c r="Z95" s="6">
        <f ca="1">('TUSD BE'!$AM$20+'TUSD BF'!$AM$20+'TUSD CVA'!$AM$20)*1</f>
        <v>670.0842907267272</v>
      </c>
      <c r="AA95" s="6">
        <f>('TE BE'!$AB$11+'TE BF'!$AB$11+'TE CVA'!$AB$11)*1</f>
        <v>116.42847759142431</v>
      </c>
      <c r="AB95" s="6">
        <f>$K$95*$V$95</f>
        <v>0</v>
      </c>
      <c r="AC95" s="6">
        <f>$M$95*$W$95</f>
        <v>-763.42764</v>
      </c>
      <c r="AD95" s="6">
        <f>$O$95*$X$95</f>
        <v>-180.79376999999999</v>
      </c>
      <c r="AE95" s="6">
        <f>$K$95*$Y$95</f>
        <v>0</v>
      </c>
      <c r="AF95" s="6">
        <f ca="1">$M$95*$Z$95</f>
        <v>-918.68556258634294</v>
      </c>
      <c r="AG95" s="6">
        <f>$O$95*$AA$95</f>
        <v>-159.62344277784274</v>
      </c>
    </row>
    <row r="96" spans="1:33" ht="11.25" customHeight="1" x14ac:dyDescent="0.25">
      <c r="A96" s="4" t="s">
        <v>28</v>
      </c>
      <c r="B96" s="4" t="s">
        <v>22</v>
      </c>
      <c r="C96" s="4" t="s">
        <v>23</v>
      </c>
      <c r="D96" s="4" t="s">
        <v>24</v>
      </c>
      <c r="E96" s="4" t="s">
        <v>24</v>
      </c>
      <c r="F96" s="4" t="s">
        <v>25</v>
      </c>
      <c r="G96" s="4" t="s">
        <v>25</v>
      </c>
      <c r="H96" s="4" t="s">
        <v>25</v>
      </c>
      <c r="I96" s="5">
        <v>44378</v>
      </c>
      <c r="J96" s="6">
        <v>0</v>
      </c>
      <c r="K96" s="6">
        <v>0</v>
      </c>
      <c r="L96" s="6">
        <v>1.0529999999999999</v>
      </c>
      <c r="M96" s="6">
        <v>1.0529999999999999</v>
      </c>
      <c r="N96" s="6">
        <v>1.0529999999999999</v>
      </c>
      <c r="O96" s="6">
        <v>1.0529999999999999</v>
      </c>
      <c r="P96" s="6">
        <v>9</v>
      </c>
      <c r="Q96" s="4" t="s">
        <v>26</v>
      </c>
      <c r="R96" s="4">
        <v>0</v>
      </c>
      <c r="S96" s="6">
        <v>0</v>
      </c>
      <c r="T96" s="6">
        <v>24</v>
      </c>
      <c r="U96" s="6">
        <v>26</v>
      </c>
      <c r="V96" s="6">
        <f>IF(ISERROR(VLOOKUP($S$96,'TAR FIN'!$A$1:$O$86,15,0)),0,VLOOKUP($S$96,'TAR FIN'!$A$1:$O$86,15,0))</f>
        <v>0</v>
      </c>
      <c r="W96" s="6">
        <f>IF(ISERROR(VLOOKUP($T$96,'TAR FIN'!$A$1:$O$86,15,0)),0,VLOOKUP($T$96,'TAR FIN'!$A$1:$O$86,15,0))</f>
        <v>556.84</v>
      </c>
      <c r="X96" s="6">
        <f>IF(ISERROR(VLOOKUP($U$96,'TAR FIN'!$A$1:$O$86,15,0)),0,VLOOKUP($U$96,'TAR FIN'!$A$1:$O$86,15,0))</f>
        <v>131.87</v>
      </c>
      <c r="Y96" s="6"/>
      <c r="Z96" s="6">
        <f ca="1">('TUSD BE'!$AM$20+'TUSD BF'!$AM$20+'TUSD CVA'!$AM$20)*1</f>
        <v>670.0842907267272</v>
      </c>
      <c r="AA96" s="6">
        <f>('TE BE'!$AB$11+'TE BF'!$AB$11+'TE CVA'!$AB$11)*1</f>
        <v>116.42847759142431</v>
      </c>
      <c r="AB96" s="6">
        <f>$K$96*$V$96</f>
        <v>0</v>
      </c>
      <c r="AC96" s="6">
        <f>$M$96*$W$96</f>
        <v>586.35252000000003</v>
      </c>
      <c r="AD96" s="6">
        <f>$O$96*$X$96</f>
        <v>138.85910999999999</v>
      </c>
      <c r="AE96" s="6">
        <f>$K$96*$Y$96</f>
        <v>0</v>
      </c>
      <c r="AF96" s="6">
        <f ca="1">$M$96*$Z$96</f>
        <v>705.59875813524366</v>
      </c>
      <c r="AG96" s="6">
        <f>$O$96*$AA$96</f>
        <v>122.59918690376979</v>
      </c>
    </row>
    <row r="97" spans="1:3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24</v>
      </c>
      <c r="F97" s="4" t="s">
        <v>25</v>
      </c>
      <c r="G97" s="4" t="s">
        <v>25</v>
      </c>
      <c r="H97" s="4" t="s">
        <v>25</v>
      </c>
      <c r="I97" s="5">
        <v>44409</v>
      </c>
      <c r="J97" s="6">
        <v>0</v>
      </c>
      <c r="K97" s="6">
        <v>0</v>
      </c>
      <c r="L97" s="6">
        <v>1058.614</v>
      </c>
      <c r="M97" s="6">
        <v>1058.614</v>
      </c>
      <c r="N97" s="6">
        <v>1058.614</v>
      </c>
      <c r="O97" s="6">
        <v>1058.614</v>
      </c>
      <c r="P97" s="6">
        <v>6049</v>
      </c>
      <c r="Q97" s="4" t="s">
        <v>26</v>
      </c>
      <c r="R97" s="4">
        <v>0</v>
      </c>
      <c r="S97" s="6">
        <v>0</v>
      </c>
      <c r="T97" s="6">
        <v>24</v>
      </c>
      <c r="U97" s="6">
        <v>26</v>
      </c>
      <c r="V97" s="6">
        <f>IF(ISERROR(VLOOKUP($S$97,'TAR FIN'!$A$1:$O$86,15,0)),0,VLOOKUP($S$97,'TAR FIN'!$A$1:$O$86,15,0))</f>
        <v>0</v>
      </c>
      <c r="W97" s="6">
        <f>IF(ISERROR(VLOOKUP($T$97,'TAR FIN'!$A$1:$O$86,15,0)),0,VLOOKUP($T$97,'TAR FIN'!$A$1:$O$86,15,0))</f>
        <v>556.84</v>
      </c>
      <c r="X97" s="6">
        <f>IF(ISERROR(VLOOKUP($U$97,'TAR FIN'!$A$1:$O$86,15,0)),0,VLOOKUP($U$97,'TAR FIN'!$A$1:$O$86,15,0))</f>
        <v>131.87</v>
      </c>
      <c r="Y97" s="6"/>
      <c r="Z97" s="6">
        <f ca="1">('TUSD BE'!$AM$20+'TUSD BF'!$AM$20+'TUSD CVA'!$AM$20)*1</f>
        <v>670.0842907267272</v>
      </c>
      <c r="AA97" s="6">
        <f>('TE BE'!$AB$11+'TE BF'!$AB$11+'TE CVA'!$AB$11)*1</f>
        <v>116.42847759142431</v>
      </c>
      <c r="AB97" s="6">
        <f>$K$97*$V$97</f>
        <v>0</v>
      </c>
      <c r="AC97" s="6">
        <f>$M$97*$W$97</f>
        <v>589478.61976000003</v>
      </c>
      <c r="AD97" s="6">
        <f>$O$97*$X$97</f>
        <v>139599.42818000002</v>
      </c>
      <c r="AE97" s="6">
        <f>$K$97*$Y$97</f>
        <v>0</v>
      </c>
      <c r="AF97" s="6">
        <f ca="1">$M$97*$Z$97</f>
        <v>709360.61134338356</v>
      </c>
      <c r="AG97" s="6">
        <f>$O$97*$AA$97</f>
        <v>123252.81637696805</v>
      </c>
    </row>
    <row r="98" spans="1:33" ht="11.25" customHeight="1" x14ac:dyDescent="0.25">
      <c r="A98" s="4" t="s">
        <v>28</v>
      </c>
      <c r="B98" s="4" t="s">
        <v>22</v>
      </c>
      <c r="C98" s="4" t="s">
        <v>23</v>
      </c>
      <c r="D98" s="4" t="s">
        <v>24</v>
      </c>
      <c r="E98" s="4" t="s">
        <v>24</v>
      </c>
      <c r="F98" s="4" t="s">
        <v>25</v>
      </c>
      <c r="G98" s="4" t="s">
        <v>25</v>
      </c>
      <c r="H98" s="4" t="s">
        <v>25</v>
      </c>
      <c r="I98" s="5">
        <v>44409</v>
      </c>
      <c r="J98" s="6">
        <v>0</v>
      </c>
      <c r="K98" s="6">
        <v>0</v>
      </c>
      <c r="L98" s="6">
        <v>1.0389999999999999</v>
      </c>
      <c r="M98" s="6">
        <v>1.0389999999999999</v>
      </c>
      <c r="N98" s="6">
        <v>1.0389999999999999</v>
      </c>
      <c r="O98" s="6">
        <v>1.0389999999999999</v>
      </c>
      <c r="P98" s="6">
        <v>9</v>
      </c>
      <c r="Q98" s="4" t="s">
        <v>26</v>
      </c>
      <c r="R98" s="4">
        <v>0</v>
      </c>
      <c r="S98" s="6">
        <v>0</v>
      </c>
      <c r="T98" s="6">
        <v>24</v>
      </c>
      <c r="U98" s="6">
        <v>26</v>
      </c>
      <c r="V98" s="6">
        <f>IF(ISERROR(VLOOKUP($S$98,'TAR FIN'!$A$1:$O$86,15,0)),0,VLOOKUP($S$98,'TAR FIN'!$A$1:$O$86,15,0))</f>
        <v>0</v>
      </c>
      <c r="W98" s="6">
        <f>IF(ISERROR(VLOOKUP($T$98,'TAR FIN'!$A$1:$O$86,15,0)),0,VLOOKUP($T$98,'TAR FIN'!$A$1:$O$86,15,0))</f>
        <v>556.84</v>
      </c>
      <c r="X98" s="6">
        <f>IF(ISERROR(VLOOKUP($U$98,'TAR FIN'!$A$1:$O$86,15,0)),0,VLOOKUP($U$98,'TAR FIN'!$A$1:$O$86,15,0))</f>
        <v>131.87</v>
      </c>
      <c r="Y98" s="6"/>
      <c r="Z98" s="6">
        <f ca="1">('TUSD BE'!$AM$20+'TUSD BF'!$AM$20+'TUSD CVA'!$AM$20)*1</f>
        <v>670.0842907267272</v>
      </c>
      <c r="AA98" s="6">
        <f>('TE BE'!$AB$11+'TE BF'!$AB$11+'TE CVA'!$AB$11)*1</f>
        <v>116.42847759142431</v>
      </c>
      <c r="AB98" s="6">
        <f>$K$98*$V$98</f>
        <v>0</v>
      </c>
      <c r="AC98" s="6">
        <f>$M$98*$W$98</f>
        <v>578.55675999999994</v>
      </c>
      <c r="AD98" s="6">
        <f>$O$98*$X$98</f>
        <v>137.01292999999998</v>
      </c>
      <c r="AE98" s="6">
        <f>$K$98*$Y$98</f>
        <v>0</v>
      </c>
      <c r="AF98" s="6">
        <f ca="1">$M$98*$Z$98</f>
        <v>696.21757806506946</v>
      </c>
      <c r="AG98" s="6">
        <f>$O$98*$AA$98</f>
        <v>120.96918821748984</v>
      </c>
    </row>
    <row r="99" spans="1:33" ht="11.25" customHeight="1" x14ac:dyDescent="0.25">
      <c r="A99" s="4" t="s">
        <v>21</v>
      </c>
      <c r="B99" s="4" t="s">
        <v>22</v>
      </c>
      <c r="C99" s="4" t="s">
        <v>23</v>
      </c>
      <c r="D99" s="4" t="s">
        <v>24</v>
      </c>
      <c r="E99" s="4" t="s">
        <v>24</v>
      </c>
      <c r="F99" s="4" t="s">
        <v>25</v>
      </c>
      <c r="G99" s="4" t="s">
        <v>25</v>
      </c>
      <c r="H99" s="4" t="s">
        <v>25</v>
      </c>
      <c r="I99" s="5">
        <v>44440</v>
      </c>
      <c r="J99" s="6">
        <v>0</v>
      </c>
      <c r="K99" s="6">
        <v>0</v>
      </c>
      <c r="L99" s="6">
        <v>1019.7910000000001</v>
      </c>
      <c r="M99" s="6">
        <v>1019.7910000000001</v>
      </c>
      <c r="N99" s="6">
        <v>1019.7910000000001</v>
      </c>
      <c r="O99" s="6">
        <v>1019.7910000000001</v>
      </c>
      <c r="P99" s="6">
        <v>6068</v>
      </c>
      <c r="Q99" s="4" t="s">
        <v>26</v>
      </c>
      <c r="R99" s="4">
        <v>0</v>
      </c>
      <c r="S99" s="6">
        <v>0</v>
      </c>
      <c r="T99" s="6">
        <v>24</v>
      </c>
      <c r="U99" s="6">
        <v>26</v>
      </c>
      <c r="V99" s="6">
        <f>IF(ISERROR(VLOOKUP($S$99,'TAR FIN'!$A$1:$O$86,15,0)),0,VLOOKUP($S$99,'TAR FIN'!$A$1:$O$86,15,0))</f>
        <v>0</v>
      </c>
      <c r="W99" s="6">
        <f>IF(ISERROR(VLOOKUP($T$99,'TAR FIN'!$A$1:$O$86,15,0)),0,VLOOKUP($T$99,'TAR FIN'!$A$1:$O$86,15,0))</f>
        <v>556.84</v>
      </c>
      <c r="X99" s="6">
        <f>IF(ISERROR(VLOOKUP($U$99,'TAR FIN'!$A$1:$O$86,15,0)),0,VLOOKUP($U$99,'TAR FIN'!$A$1:$O$86,15,0))</f>
        <v>131.87</v>
      </c>
      <c r="Y99" s="6"/>
      <c r="Z99" s="6">
        <f ca="1">('TUSD BE'!$AM$20+'TUSD BF'!$AM$20+'TUSD CVA'!$AM$20)*1</f>
        <v>670.0842907267272</v>
      </c>
      <c r="AA99" s="6">
        <f>('TE BE'!$AB$11+'TE BF'!$AB$11+'TE CVA'!$AB$11)*1</f>
        <v>116.42847759142431</v>
      </c>
      <c r="AB99" s="6">
        <f>$K$99*$V$99</f>
        <v>0</v>
      </c>
      <c r="AC99" s="6">
        <f>$M$99*$W$99</f>
        <v>567860.42044000002</v>
      </c>
      <c r="AD99" s="6">
        <f>$O$99*$X$99</f>
        <v>134479.83917000002</v>
      </c>
      <c r="AE99" s="6">
        <f>$K$99*$Y$99</f>
        <v>0</v>
      </c>
      <c r="AF99" s="6">
        <f ca="1">$M$99*$Z$99</f>
        <v>683345.92892449989</v>
      </c>
      <c r="AG99" s="6">
        <f>$O$99*$AA$99</f>
        <v>118732.7135914362</v>
      </c>
    </row>
    <row r="100" spans="1:33" ht="11.25" customHeight="1" x14ac:dyDescent="0.25">
      <c r="A100" s="4" t="s">
        <v>27</v>
      </c>
      <c r="B100" s="4" t="s">
        <v>22</v>
      </c>
      <c r="C100" s="4" t="s">
        <v>23</v>
      </c>
      <c r="D100" s="4" t="s">
        <v>24</v>
      </c>
      <c r="E100" s="4" t="s">
        <v>24</v>
      </c>
      <c r="F100" s="4" t="s">
        <v>25</v>
      </c>
      <c r="G100" s="4" t="s">
        <v>25</v>
      </c>
      <c r="H100" s="4" t="s">
        <v>25</v>
      </c>
      <c r="I100" s="5">
        <v>44440</v>
      </c>
      <c r="J100" s="6">
        <v>0</v>
      </c>
      <c r="K100" s="6">
        <v>0</v>
      </c>
      <c r="L100" s="6">
        <v>-0.21299999999999999</v>
      </c>
      <c r="M100" s="6">
        <v>-0.21299999999999999</v>
      </c>
      <c r="N100" s="6">
        <v>-0.21299999999999999</v>
      </c>
      <c r="O100" s="6">
        <v>-0.21299999999999999</v>
      </c>
      <c r="P100" s="6">
        <v>0</v>
      </c>
      <c r="Q100" s="4" t="s">
        <v>26</v>
      </c>
      <c r="R100" s="4">
        <v>0</v>
      </c>
      <c r="S100" s="6">
        <v>0</v>
      </c>
      <c r="T100" s="6">
        <v>24</v>
      </c>
      <c r="U100" s="6">
        <v>26</v>
      </c>
      <c r="V100" s="6">
        <f>IF(ISERROR(VLOOKUP($S$100,'TAR FIN'!$A$1:$O$86,15,0)),0,VLOOKUP($S$100,'TAR FIN'!$A$1:$O$86,15,0))</f>
        <v>0</v>
      </c>
      <c r="W100" s="6">
        <f>IF(ISERROR(VLOOKUP($T$100,'TAR FIN'!$A$1:$O$86,15,0)),0,VLOOKUP($T$100,'TAR FIN'!$A$1:$O$86,15,0))</f>
        <v>556.84</v>
      </c>
      <c r="X100" s="6">
        <f>IF(ISERROR(VLOOKUP($U$100,'TAR FIN'!$A$1:$O$86,15,0)),0,VLOOKUP($U$100,'TAR FIN'!$A$1:$O$86,15,0))</f>
        <v>131.87</v>
      </c>
      <c r="Y100" s="6"/>
      <c r="Z100" s="6">
        <f ca="1">('TUSD BE'!$AM$20+'TUSD BF'!$AM$20+'TUSD CVA'!$AM$20)*1</f>
        <v>670.0842907267272</v>
      </c>
      <c r="AA100" s="6">
        <f>('TE BE'!$AB$11+'TE BF'!$AB$11+'TE CVA'!$AB$11)*1</f>
        <v>116.42847759142431</v>
      </c>
      <c r="AB100" s="6">
        <f>$K$100*$V$100</f>
        <v>0</v>
      </c>
      <c r="AC100" s="6">
        <f>$M$100*$W$100</f>
        <v>-118.60692</v>
      </c>
      <c r="AD100" s="6">
        <f>$O$100*$X$100</f>
        <v>-28.08831</v>
      </c>
      <c r="AE100" s="6">
        <f>$K$100*$Y$100</f>
        <v>0</v>
      </c>
      <c r="AF100" s="6">
        <f ca="1">$M$100*$Z$100</f>
        <v>-142.7279539247929</v>
      </c>
      <c r="AG100" s="6">
        <f>$O$100*$AA$100</f>
        <v>-24.799265726973378</v>
      </c>
    </row>
    <row r="101" spans="1:33" ht="11.25" customHeight="1" x14ac:dyDescent="0.25">
      <c r="A101" s="4" t="s">
        <v>28</v>
      </c>
      <c r="B101" s="4" t="s">
        <v>22</v>
      </c>
      <c r="C101" s="4" t="s">
        <v>23</v>
      </c>
      <c r="D101" s="4" t="s">
        <v>24</v>
      </c>
      <c r="E101" s="4" t="s">
        <v>24</v>
      </c>
      <c r="F101" s="4" t="s">
        <v>25</v>
      </c>
      <c r="G101" s="4" t="s">
        <v>25</v>
      </c>
      <c r="H101" s="4" t="s">
        <v>25</v>
      </c>
      <c r="I101" s="5">
        <v>44440</v>
      </c>
      <c r="J101" s="6">
        <v>0</v>
      </c>
      <c r="K101" s="6">
        <v>0</v>
      </c>
      <c r="L101" s="6">
        <v>1.869</v>
      </c>
      <c r="M101" s="6">
        <v>1.869</v>
      </c>
      <c r="N101" s="6">
        <v>1.869</v>
      </c>
      <c r="O101" s="6">
        <v>1.869</v>
      </c>
      <c r="P101" s="6">
        <v>11</v>
      </c>
      <c r="Q101" s="4" t="s">
        <v>26</v>
      </c>
      <c r="R101" s="4">
        <v>0</v>
      </c>
      <c r="S101" s="6">
        <v>0</v>
      </c>
      <c r="T101" s="6">
        <v>24</v>
      </c>
      <c r="U101" s="6">
        <v>26</v>
      </c>
      <c r="V101" s="6">
        <f>IF(ISERROR(VLOOKUP($S$101,'TAR FIN'!$A$1:$O$86,15,0)),0,VLOOKUP($S$101,'TAR FIN'!$A$1:$O$86,15,0))</f>
        <v>0</v>
      </c>
      <c r="W101" s="6">
        <f>IF(ISERROR(VLOOKUP($T$101,'TAR FIN'!$A$1:$O$86,15,0)),0,VLOOKUP($T$101,'TAR FIN'!$A$1:$O$86,15,0))</f>
        <v>556.84</v>
      </c>
      <c r="X101" s="6">
        <f>IF(ISERROR(VLOOKUP($U$101,'TAR FIN'!$A$1:$O$86,15,0)),0,VLOOKUP($U$101,'TAR FIN'!$A$1:$O$86,15,0))</f>
        <v>131.87</v>
      </c>
      <c r="Y101" s="6"/>
      <c r="Z101" s="6">
        <f ca="1">('TUSD BE'!$AM$20+'TUSD BF'!$AM$20+'TUSD CVA'!$AM$20)*1</f>
        <v>670.0842907267272</v>
      </c>
      <c r="AA101" s="6">
        <f>('TE BE'!$AB$11+'TE BF'!$AB$11+'TE CVA'!$AB$11)*1</f>
        <v>116.42847759142431</v>
      </c>
      <c r="AB101" s="6">
        <f>$K$101*$V$101</f>
        <v>0</v>
      </c>
      <c r="AC101" s="6">
        <f>$M$101*$W$101</f>
        <v>1040.73396</v>
      </c>
      <c r="AD101" s="6">
        <f>$O$101*$X$101</f>
        <v>246.46503000000001</v>
      </c>
      <c r="AE101" s="6">
        <f>$K$101*$Y$101</f>
        <v>0</v>
      </c>
      <c r="AF101" s="6">
        <f ca="1">$M$101*$Z$101</f>
        <v>1252.3875393682531</v>
      </c>
      <c r="AG101" s="6">
        <f>$O$101*$AA$101</f>
        <v>217.60482461837205</v>
      </c>
    </row>
    <row r="102" spans="1:33" ht="11.25" customHeight="1" x14ac:dyDescent="0.25">
      <c r="A102" s="4" t="s">
        <v>21</v>
      </c>
      <c r="B102" s="4" t="s">
        <v>22</v>
      </c>
      <c r="C102" s="4" t="s">
        <v>23</v>
      </c>
      <c r="D102" s="4" t="s">
        <v>24</v>
      </c>
      <c r="E102" s="4" t="s">
        <v>24</v>
      </c>
      <c r="F102" s="4" t="s">
        <v>25</v>
      </c>
      <c r="G102" s="4" t="s">
        <v>25</v>
      </c>
      <c r="H102" s="4" t="s">
        <v>25</v>
      </c>
      <c r="I102" s="5">
        <v>44470</v>
      </c>
      <c r="J102" s="6">
        <v>0</v>
      </c>
      <c r="K102" s="6">
        <v>0</v>
      </c>
      <c r="L102" s="6">
        <v>1046.424</v>
      </c>
      <c r="M102" s="6">
        <v>1046.424</v>
      </c>
      <c r="N102" s="6">
        <v>1046.424</v>
      </c>
      <c r="O102" s="6">
        <v>1046.424</v>
      </c>
      <c r="P102" s="6">
        <v>6077</v>
      </c>
      <c r="Q102" s="4" t="s">
        <v>26</v>
      </c>
      <c r="R102" s="4">
        <v>0</v>
      </c>
      <c r="S102" s="6">
        <v>0</v>
      </c>
      <c r="T102" s="6">
        <v>24</v>
      </c>
      <c r="U102" s="6">
        <v>26</v>
      </c>
      <c r="V102" s="6">
        <f>IF(ISERROR(VLOOKUP($S$102,'TAR FIN'!$A$1:$O$86,15,0)),0,VLOOKUP($S$102,'TAR FIN'!$A$1:$O$86,15,0))</f>
        <v>0</v>
      </c>
      <c r="W102" s="6">
        <f>IF(ISERROR(VLOOKUP($T$102,'TAR FIN'!$A$1:$O$86,15,0)),0,VLOOKUP($T$102,'TAR FIN'!$A$1:$O$86,15,0))</f>
        <v>556.84</v>
      </c>
      <c r="X102" s="6">
        <f>IF(ISERROR(VLOOKUP($U$102,'TAR FIN'!$A$1:$O$86,15,0)),0,VLOOKUP($U$102,'TAR FIN'!$A$1:$O$86,15,0))</f>
        <v>131.87</v>
      </c>
      <c r="Y102" s="6"/>
      <c r="Z102" s="6">
        <f ca="1">('TUSD BE'!$AM$20+'TUSD BF'!$AM$20+'TUSD CVA'!$AM$20)*1</f>
        <v>670.0842907267272</v>
      </c>
      <c r="AA102" s="6">
        <f>('TE BE'!$AB$11+'TE BF'!$AB$11+'TE CVA'!$AB$11)*1</f>
        <v>116.42847759142431</v>
      </c>
      <c r="AB102" s="6">
        <f>$K$102*$V$102</f>
        <v>0</v>
      </c>
      <c r="AC102" s="6">
        <f>$M$102*$W$102</f>
        <v>582690.74016000004</v>
      </c>
      <c r="AD102" s="6">
        <f>$O$102*$X$102</f>
        <v>137991.93288000001</v>
      </c>
      <c r="AE102" s="6">
        <f>$K$102*$Y$102</f>
        <v>0</v>
      </c>
      <c r="AF102" s="6">
        <f ca="1">$M$102*$Z$102</f>
        <v>701192.28383942472</v>
      </c>
      <c r="AG102" s="6">
        <f>$O$102*$AA$102</f>
        <v>121833.55323512859</v>
      </c>
    </row>
    <row r="103" spans="1:33" ht="11.25" customHeight="1" x14ac:dyDescent="0.25">
      <c r="A103" s="4" t="s">
        <v>27</v>
      </c>
      <c r="B103" s="4" t="s">
        <v>22</v>
      </c>
      <c r="C103" s="4" t="s">
        <v>23</v>
      </c>
      <c r="D103" s="4" t="s">
        <v>24</v>
      </c>
      <c r="E103" s="4" t="s">
        <v>24</v>
      </c>
      <c r="F103" s="4" t="s">
        <v>25</v>
      </c>
      <c r="G103" s="4" t="s">
        <v>25</v>
      </c>
      <c r="H103" s="4" t="s">
        <v>25</v>
      </c>
      <c r="I103" s="5">
        <v>44470</v>
      </c>
      <c r="J103" s="6">
        <v>0</v>
      </c>
      <c r="K103" s="6">
        <v>0</v>
      </c>
      <c r="L103" s="6">
        <v>-1.2999999999999999E-2</v>
      </c>
      <c r="M103" s="6">
        <v>-1.2999999999999999E-2</v>
      </c>
      <c r="N103" s="6">
        <v>-1.2999999999999999E-2</v>
      </c>
      <c r="O103" s="6">
        <v>-1.2999999999999999E-2</v>
      </c>
      <c r="P103" s="6">
        <v>0</v>
      </c>
      <c r="Q103" s="4" t="s">
        <v>26</v>
      </c>
      <c r="R103" s="4">
        <v>0</v>
      </c>
      <c r="S103" s="6">
        <v>0</v>
      </c>
      <c r="T103" s="6">
        <v>24</v>
      </c>
      <c r="U103" s="6">
        <v>26</v>
      </c>
      <c r="V103" s="6">
        <f>IF(ISERROR(VLOOKUP($S$103,'TAR FIN'!$A$1:$O$86,15,0)),0,VLOOKUP($S$103,'TAR FIN'!$A$1:$O$86,15,0))</f>
        <v>0</v>
      </c>
      <c r="W103" s="6">
        <f>IF(ISERROR(VLOOKUP($T$103,'TAR FIN'!$A$1:$O$86,15,0)),0,VLOOKUP($T$103,'TAR FIN'!$A$1:$O$86,15,0))</f>
        <v>556.84</v>
      </c>
      <c r="X103" s="6">
        <f>IF(ISERROR(VLOOKUP($U$103,'TAR FIN'!$A$1:$O$86,15,0)),0,VLOOKUP($U$103,'TAR FIN'!$A$1:$O$86,15,0))</f>
        <v>131.87</v>
      </c>
      <c r="Y103" s="6"/>
      <c r="Z103" s="6">
        <f ca="1">('TUSD BE'!$AM$20+'TUSD BF'!$AM$20+'TUSD CVA'!$AM$20)*1</f>
        <v>670.0842907267272</v>
      </c>
      <c r="AA103" s="6">
        <f>('TE BE'!$AB$11+'TE BF'!$AB$11+'TE CVA'!$AB$11)*1</f>
        <v>116.42847759142431</v>
      </c>
      <c r="AB103" s="6">
        <f>$K$103*$V$103</f>
        <v>0</v>
      </c>
      <c r="AC103" s="6">
        <f>$M$103*$W$103</f>
        <v>-7.2389200000000002</v>
      </c>
      <c r="AD103" s="6">
        <f>$O$103*$X$103</f>
        <v>-1.71431</v>
      </c>
      <c r="AE103" s="6">
        <f>$K$103*$Y$103</f>
        <v>0</v>
      </c>
      <c r="AF103" s="6">
        <f ca="1">$M$103*$Z$103</f>
        <v>-8.7110957794474526</v>
      </c>
      <c r="AG103" s="6">
        <f>$O$103*$AA$103</f>
        <v>-1.5135702086885159</v>
      </c>
    </row>
    <row r="104" spans="1:33" ht="11.25" customHeight="1" x14ac:dyDescent="0.25">
      <c r="A104" s="4" t="s">
        <v>28</v>
      </c>
      <c r="B104" s="4" t="s">
        <v>22</v>
      </c>
      <c r="C104" s="4" t="s">
        <v>23</v>
      </c>
      <c r="D104" s="4" t="s">
        <v>24</v>
      </c>
      <c r="E104" s="4" t="s">
        <v>24</v>
      </c>
      <c r="F104" s="4" t="s">
        <v>25</v>
      </c>
      <c r="G104" s="4" t="s">
        <v>25</v>
      </c>
      <c r="H104" s="4" t="s">
        <v>25</v>
      </c>
      <c r="I104" s="5">
        <v>44470</v>
      </c>
      <c r="J104" s="6">
        <v>0</v>
      </c>
      <c r="K104" s="6">
        <v>0</v>
      </c>
      <c r="L104" s="6">
        <v>1.542</v>
      </c>
      <c r="M104" s="6">
        <v>1.542</v>
      </c>
      <c r="N104" s="6">
        <v>1.542</v>
      </c>
      <c r="O104" s="6">
        <v>1.542</v>
      </c>
      <c r="P104" s="6">
        <v>12</v>
      </c>
      <c r="Q104" s="4" t="s">
        <v>26</v>
      </c>
      <c r="R104" s="4">
        <v>0</v>
      </c>
      <c r="S104" s="6">
        <v>0</v>
      </c>
      <c r="T104" s="6">
        <v>24</v>
      </c>
      <c r="U104" s="6">
        <v>26</v>
      </c>
      <c r="V104" s="6">
        <f>IF(ISERROR(VLOOKUP($S$104,'TAR FIN'!$A$1:$O$86,15,0)),0,VLOOKUP($S$104,'TAR FIN'!$A$1:$O$86,15,0))</f>
        <v>0</v>
      </c>
      <c r="W104" s="6">
        <f>IF(ISERROR(VLOOKUP($T$104,'TAR FIN'!$A$1:$O$86,15,0)),0,VLOOKUP($T$104,'TAR FIN'!$A$1:$O$86,15,0))</f>
        <v>556.84</v>
      </c>
      <c r="X104" s="6">
        <f>IF(ISERROR(VLOOKUP($U$104,'TAR FIN'!$A$1:$O$86,15,0)),0,VLOOKUP($U$104,'TAR FIN'!$A$1:$O$86,15,0))</f>
        <v>131.87</v>
      </c>
      <c r="Y104" s="6"/>
      <c r="Z104" s="6">
        <f ca="1">('TUSD BE'!$AM$20+'TUSD BF'!$AM$20+'TUSD CVA'!$AM$20)*1</f>
        <v>670.0842907267272</v>
      </c>
      <c r="AA104" s="6">
        <f>('TE BE'!$AB$11+'TE BF'!$AB$11+'TE CVA'!$AB$11)*1</f>
        <v>116.42847759142431</v>
      </c>
      <c r="AB104" s="6">
        <f>$K$104*$V$104</f>
        <v>0</v>
      </c>
      <c r="AC104" s="6">
        <f>$M$104*$W$104</f>
        <v>858.64728000000002</v>
      </c>
      <c r="AD104" s="6">
        <f>$O$104*$X$104</f>
        <v>203.34354000000002</v>
      </c>
      <c r="AE104" s="6">
        <f>$K$104*$Y$104</f>
        <v>0</v>
      </c>
      <c r="AF104" s="6">
        <f ca="1">$M$104*$Z$104</f>
        <v>1033.2699763006133</v>
      </c>
      <c r="AG104" s="6">
        <f>$O$104*$AA$104</f>
        <v>179.5327124459763</v>
      </c>
    </row>
    <row r="105" spans="1:33" ht="11.25" customHeight="1" x14ac:dyDescent="0.25">
      <c r="A105" s="4" t="s">
        <v>21</v>
      </c>
      <c r="B105" s="4" t="s">
        <v>22</v>
      </c>
      <c r="C105" s="4" t="s">
        <v>23</v>
      </c>
      <c r="D105" s="4" t="s">
        <v>24</v>
      </c>
      <c r="E105" s="4" t="s">
        <v>24</v>
      </c>
      <c r="F105" s="4" t="s">
        <v>25</v>
      </c>
      <c r="G105" s="4" t="s">
        <v>25</v>
      </c>
      <c r="H105" s="4" t="s">
        <v>25</v>
      </c>
      <c r="I105" s="5">
        <v>44501</v>
      </c>
      <c r="J105" s="6">
        <v>0</v>
      </c>
      <c r="K105" s="6">
        <v>0</v>
      </c>
      <c r="L105" s="6">
        <v>1000.038</v>
      </c>
      <c r="M105" s="6">
        <v>1000.038</v>
      </c>
      <c r="N105" s="6">
        <v>1000.038</v>
      </c>
      <c r="O105" s="6">
        <v>1000.038</v>
      </c>
      <c r="P105" s="6">
        <v>6064</v>
      </c>
      <c r="Q105" s="4" t="s">
        <v>26</v>
      </c>
      <c r="R105" s="4">
        <v>0</v>
      </c>
      <c r="S105" s="6">
        <v>0</v>
      </c>
      <c r="T105" s="6">
        <v>24</v>
      </c>
      <c r="U105" s="6">
        <v>26</v>
      </c>
      <c r="V105" s="6">
        <f>IF(ISERROR(VLOOKUP($S$105,'TAR FIN'!$A$1:$O$86,15,0)),0,VLOOKUP($S$105,'TAR FIN'!$A$1:$O$86,15,0))</f>
        <v>0</v>
      </c>
      <c r="W105" s="6">
        <f>IF(ISERROR(VLOOKUP($T$105,'TAR FIN'!$A$1:$O$86,15,0)),0,VLOOKUP($T$105,'TAR FIN'!$A$1:$O$86,15,0))</f>
        <v>556.84</v>
      </c>
      <c r="X105" s="6">
        <f>IF(ISERROR(VLOOKUP($U$105,'TAR FIN'!$A$1:$O$86,15,0)),0,VLOOKUP($U$105,'TAR FIN'!$A$1:$O$86,15,0))</f>
        <v>131.87</v>
      </c>
      <c r="Y105" s="6"/>
      <c r="Z105" s="6">
        <f ca="1">('TUSD BE'!$AM$20+'TUSD BF'!$AM$20+'TUSD CVA'!$AM$20)*1</f>
        <v>670.0842907267272</v>
      </c>
      <c r="AA105" s="6">
        <f>('TE BE'!$AB$11+'TE BF'!$AB$11+'TE CVA'!$AB$11)*1</f>
        <v>116.42847759142431</v>
      </c>
      <c r="AB105" s="6">
        <f>$K$105*$V$105</f>
        <v>0</v>
      </c>
      <c r="AC105" s="6">
        <f>$M$105*$W$105</f>
        <v>556861.15992000001</v>
      </c>
      <c r="AD105" s="6">
        <f>$O$105*$X$105</f>
        <v>131875.01106000002</v>
      </c>
      <c r="AE105" s="6">
        <f>$K$105*$Y$105</f>
        <v>0</v>
      </c>
      <c r="AF105" s="6">
        <f ca="1">$M$105*$Z$105</f>
        <v>670109.75392977486</v>
      </c>
      <c r="AG105" s="6">
        <f>$O$105*$AA$105</f>
        <v>116432.90187357279</v>
      </c>
    </row>
    <row r="106" spans="1:33" ht="11.25" customHeight="1" x14ac:dyDescent="0.25">
      <c r="A106" s="4" t="s">
        <v>27</v>
      </c>
      <c r="B106" s="4" t="s">
        <v>22</v>
      </c>
      <c r="C106" s="4" t="s">
        <v>23</v>
      </c>
      <c r="D106" s="4" t="s">
        <v>24</v>
      </c>
      <c r="E106" s="4" t="s">
        <v>24</v>
      </c>
      <c r="F106" s="4" t="s">
        <v>25</v>
      </c>
      <c r="G106" s="4" t="s">
        <v>25</v>
      </c>
      <c r="H106" s="4" t="s">
        <v>25</v>
      </c>
      <c r="I106" s="5">
        <v>44501</v>
      </c>
      <c r="J106" s="6">
        <v>0</v>
      </c>
      <c r="K106" s="6">
        <v>0</v>
      </c>
      <c r="L106" s="6">
        <v>-0.17399999999999999</v>
      </c>
      <c r="M106" s="6">
        <v>-0.17399999999999999</v>
      </c>
      <c r="N106" s="6">
        <v>-0.17399999999999999</v>
      </c>
      <c r="O106" s="6">
        <v>-0.17399999999999999</v>
      </c>
      <c r="P106" s="6">
        <v>0</v>
      </c>
      <c r="Q106" s="4" t="s">
        <v>26</v>
      </c>
      <c r="R106" s="4">
        <v>0</v>
      </c>
      <c r="S106" s="6">
        <v>0</v>
      </c>
      <c r="T106" s="6">
        <v>24</v>
      </c>
      <c r="U106" s="6">
        <v>26</v>
      </c>
      <c r="V106" s="6">
        <f>IF(ISERROR(VLOOKUP($S$106,'TAR FIN'!$A$1:$O$86,15,0)),0,VLOOKUP($S$106,'TAR FIN'!$A$1:$O$86,15,0))</f>
        <v>0</v>
      </c>
      <c r="W106" s="6">
        <f>IF(ISERROR(VLOOKUP($T$106,'TAR FIN'!$A$1:$O$86,15,0)),0,VLOOKUP($T$106,'TAR FIN'!$A$1:$O$86,15,0))</f>
        <v>556.84</v>
      </c>
      <c r="X106" s="6">
        <f>IF(ISERROR(VLOOKUP($U$106,'TAR FIN'!$A$1:$O$86,15,0)),0,VLOOKUP($U$106,'TAR FIN'!$A$1:$O$86,15,0))</f>
        <v>131.87</v>
      </c>
      <c r="Y106" s="6"/>
      <c r="Z106" s="6">
        <f ca="1">('TUSD BE'!$AM$20+'TUSD BF'!$AM$20+'TUSD CVA'!$AM$20)*1</f>
        <v>670.0842907267272</v>
      </c>
      <c r="AA106" s="6">
        <f>('TE BE'!$AB$11+'TE BF'!$AB$11+'TE CVA'!$AB$11)*1</f>
        <v>116.42847759142431</v>
      </c>
      <c r="AB106" s="6">
        <f>$K$106*$V$106</f>
        <v>0</v>
      </c>
      <c r="AC106" s="6">
        <f>$M$106*$W$106</f>
        <v>-96.890159999999995</v>
      </c>
      <c r="AD106" s="6">
        <f>$O$106*$X$106</f>
        <v>-22.94538</v>
      </c>
      <c r="AE106" s="6">
        <f>$K$106*$Y$106</f>
        <v>0</v>
      </c>
      <c r="AF106" s="6">
        <f ca="1">$M$106*$Z$106</f>
        <v>-116.59466658645053</v>
      </c>
      <c r="AG106" s="6">
        <f>$O$106*$AA$106</f>
        <v>-20.258555100907827</v>
      </c>
    </row>
    <row r="107" spans="1:33" ht="11.25" customHeight="1" x14ac:dyDescent="0.25">
      <c r="A107" s="4" t="s">
        <v>28</v>
      </c>
      <c r="B107" s="4" t="s">
        <v>22</v>
      </c>
      <c r="C107" s="4" t="s">
        <v>23</v>
      </c>
      <c r="D107" s="4" t="s">
        <v>24</v>
      </c>
      <c r="E107" s="4" t="s">
        <v>24</v>
      </c>
      <c r="F107" s="4" t="s">
        <v>25</v>
      </c>
      <c r="G107" s="4" t="s">
        <v>25</v>
      </c>
      <c r="H107" s="4" t="s">
        <v>25</v>
      </c>
      <c r="I107" s="5">
        <v>44501</v>
      </c>
      <c r="J107" s="6">
        <v>0</v>
      </c>
      <c r="K107" s="6">
        <v>0</v>
      </c>
      <c r="L107" s="6">
        <v>0.91800000000000004</v>
      </c>
      <c r="M107" s="6">
        <v>0.91800000000000004</v>
      </c>
      <c r="N107" s="6">
        <v>0.91800000000000004</v>
      </c>
      <c r="O107" s="6">
        <v>0.91800000000000004</v>
      </c>
      <c r="P107" s="6">
        <v>13</v>
      </c>
      <c r="Q107" s="4" t="s">
        <v>26</v>
      </c>
      <c r="R107" s="4">
        <v>0</v>
      </c>
      <c r="S107" s="6">
        <v>0</v>
      </c>
      <c r="T107" s="6">
        <v>24</v>
      </c>
      <c r="U107" s="6">
        <v>26</v>
      </c>
      <c r="V107" s="6">
        <f>IF(ISERROR(VLOOKUP($S$107,'TAR FIN'!$A$1:$O$86,15,0)),0,VLOOKUP($S$107,'TAR FIN'!$A$1:$O$86,15,0))</f>
        <v>0</v>
      </c>
      <c r="W107" s="6">
        <f>IF(ISERROR(VLOOKUP($T$107,'TAR FIN'!$A$1:$O$86,15,0)),0,VLOOKUP($T$107,'TAR FIN'!$A$1:$O$86,15,0))</f>
        <v>556.84</v>
      </c>
      <c r="X107" s="6">
        <f>IF(ISERROR(VLOOKUP($U$107,'TAR FIN'!$A$1:$O$86,15,0)),0,VLOOKUP($U$107,'TAR FIN'!$A$1:$O$86,15,0))</f>
        <v>131.87</v>
      </c>
      <c r="Y107" s="6"/>
      <c r="Z107" s="6">
        <f ca="1">('TUSD BE'!$AM$20+'TUSD BF'!$AM$20+'TUSD CVA'!$AM$20)*1</f>
        <v>670.0842907267272</v>
      </c>
      <c r="AA107" s="6">
        <f>('TE BE'!$AB$11+'TE BF'!$AB$11+'TE CVA'!$AB$11)*1</f>
        <v>116.42847759142431</v>
      </c>
      <c r="AB107" s="6">
        <f>$K$107*$V$107</f>
        <v>0</v>
      </c>
      <c r="AC107" s="6">
        <f>$M$107*$W$107</f>
        <v>511.17912000000007</v>
      </c>
      <c r="AD107" s="6">
        <f>$O$107*$X$107</f>
        <v>121.05666000000001</v>
      </c>
      <c r="AE107" s="6">
        <f>$K$107*$Y$107</f>
        <v>0</v>
      </c>
      <c r="AF107" s="6">
        <f ca="1">$M$107*$Z$107</f>
        <v>615.13737888713558</v>
      </c>
      <c r="AG107" s="6">
        <f>$O$107*$AA$107</f>
        <v>106.88134242892752</v>
      </c>
    </row>
    <row r="108" spans="1:33" ht="11.25" customHeight="1" x14ac:dyDescent="0.25">
      <c r="A108" s="4" t="s">
        <v>21</v>
      </c>
      <c r="B108" s="4" t="s">
        <v>22</v>
      </c>
      <c r="C108" s="4" t="s">
        <v>23</v>
      </c>
      <c r="D108" s="4" t="s">
        <v>24</v>
      </c>
      <c r="E108" s="4" t="s">
        <v>24</v>
      </c>
      <c r="F108" s="4" t="s">
        <v>25</v>
      </c>
      <c r="G108" s="4" t="s">
        <v>25</v>
      </c>
      <c r="H108" s="4" t="s">
        <v>25</v>
      </c>
      <c r="I108" s="5">
        <v>44531</v>
      </c>
      <c r="J108" s="6">
        <v>0</v>
      </c>
      <c r="K108" s="6">
        <v>0</v>
      </c>
      <c r="L108" s="6">
        <v>964.93299999999999</v>
      </c>
      <c r="M108" s="6">
        <v>964.93299999999999</v>
      </c>
      <c r="N108" s="6">
        <v>964.93299999999999</v>
      </c>
      <c r="O108" s="6">
        <v>964.93299999999999</v>
      </c>
      <c r="P108" s="6">
        <v>6067</v>
      </c>
      <c r="Q108" s="4" t="s">
        <v>26</v>
      </c>
      <c r="R108" s="4">
        <v>0</v>
      </c>
      <c r="S108" s="6">
        <v>0</v>
      </c>
      <c r="T108" s="6">
        <v>24</v>
      </c>
      <c r="U108" s="6">
        <v>26</v>
      </c>
      <c r="V108" s="6">
        <f>IF(ISERROR(VLOOKUP($S$108,'TAR FIN'!$A$1:$O$86,15,0)),0,VLOOKUP($S$108,'TAR FIN'!$A$1:$O$86,15,0))</f>
        <v>0</v>
      </c>
      <c r="W108" s="6">
        <f>IF(ISERROR(VLOOKUP($T$108,'TAR FIN'!$A$1:$O$86,15,0)),0,VLOOKUP($T$108,'TAR FIN'!$A$1:$O$86,15,0))</f>
        <v>556.84</v>
      </c>
      <c r="X108" s="6">
        <f>IF(ISERROR(VLOOKUP($U$108,'TAR FIN'!$A$1:$O$86,15,0)),0,VLOOKUP($U$108,'TAR FIN'!$A$1:$O$86,15,0))</f>
        <v>131.87</v>
      </c>
      <c r="Y108" s="6"/>
      <c r="Z108" s="6">
        <f ca="1">('TUSD BE'!$AM$20+'TUSD BF'!$AM$20+'TUSD CVA'!$AM$20)*1</f>
        <v>670.0842907267272</v>
      </c>
      <c r="AA108" s="6">
        <f>('TE BE'!$AB$11+'TE BF'!$AB$11+'TE CVA'!$AB$11)*1</f>
        <v>116.42847759142431</v>
      </c>
      <c r="AB108" s="6">
        <f>$K$108*$V$108</f>
        <v>0</v>
      </c>
      <c r="AC108" s="6">
        <f>$M$108*$W$108</f>
        <v>537313.29171999998</v>
      </c>
      <c r="AD108" s="6">
        <f>$O$108*$X$108</f>
        <v>127245.71471</v>
      </c>
      <c r="AE108" s="6">
        <f>$K$108*$Y$108</f>
        <v>0</v>
      </c>
      <c r="AF108" s="6">
        <f ca="1">$M$108*$Z$108</f>
        <v>646586.44490381307</v>
      </c>
      <c r="AG108" s="6">
        <f>$O$108*$AA$108</f>
        <v>112345.68016772583</v>
      </c>
    </row>
    <row r="109" spans="1:33" ht="11.25" customHeight="1" x14ac:dyDescent="0.25">
      <c r="A109" s="4" t="s">
        <v>28</v>
      </c>
      <c r="B109" s="4" t="s">
        <v>22</v>
      </c>
      <c r="C109" s="4" t="s">
        <v>23</v>
      </c>
      <c r="D109" s="4" t="s">
        <v>24</v>
      </c>
      <c r="E109" s="4" t="s">
        <v>24</v>
      </c>
      <c r="F109" s="4" t="s">
        <v>25</v>
      </c>
      <c r="G109" s="4" t="s">
        <v>25</v>
      </c>
      <c r="H109" s="4" t="s">
        <v>25</v>
      </c>
      <c r="I109" s="5">
        <v>44531</v>
      </c>
      <c r="J109" s="6">
        <v>0</v>
      </c>
      <c r="K109" s="6">
        <v>0</v>
      </c>
      <c r="L109" s="6">
        <v>0.83799999999999997</v>
      </c>
      <c r="M109" s="6">
        <v>0.83799999999999997</v>
      </c>
      <c r="N109" s="6">
        <v>0.83799999999999997</v>
      </c>
      <c r="O109" s="6">
        <v>0.83799999999999997</v>
      </c>
      <c r="P109" s="6">
        <v>15</v>
      </c>
      <c r="Q109" s="4" t="s">
        <v>26</v>
      </c>
      <c r="R109" s="4">
        <v>0</v>
      </c>
      <c r="S109" s="6">
        <v>0</v>
      </c>
      <c r="T109" s="6">
        <v>24</v>
      </c>
      <c r="U109" s="6">
        <v>26</v>
      </c>
      <c r="V109" s="6">
        <f>IF(ISERROR(VLOOKUP($S$109,'TAR FIN'!$A$1:$O$86,15,0)),0,VLOOKUP($S$109,'TAR FIN'!$A$1:$O$86,15,0))</f>
        <v>0</v>
      </c>
      <c r="W109" s="6">
        <f>IF(ISERROR(VLOOKUP($T$109,'TAR FIN'!$A$1:$O$86,15,0)),0,VLOOKUP($T$109,'TAR FIN'!$A$1:$O$86,15,0))</f>
        <v>556.84</v>
      </c>
      <c r="X109" s="6">
        <f>IF(ISERROR(VLOOKUP($U$109,'TAR FIN'!$A$1:$O$86,15,0)),0,VLOOKUP($U$109,'TAR FIN'!$A$1:$O$86,15,0))</f>
        <v>131.87</v>
      </c>
      <c r="Y109" s="6"/>
      <c r="Z109" s="6">
        <f ca="1">('TUSD BE'!$AM$20+'TUSD BF'!$AM$20+'TUSD CVA'!$AM$20)*1</f>
        <v>670.0842907267272</v>
      </c>
      <c r="AA109" s="6">
        <f>('TE BE'!$AB$11+'TE BF'!$AB$11+'TE CVA'!$AB$11)*1</f>
        <v>116.42847759142431</v>
      </c>
      <c r="AB109" s="6">
        <f>$K$109*$V$109</f>
        <v>0</v>
      </c>
      <c r="AC109" s="6">
        <f>$M$109*$W$109</f>
        <v>466.63192000000004</v>
      </c>
      <c r="AD109" s="6">
        <f>$O$109*$X$109</f>
        <v>110.50706</v>
      </c>
      <c r="AE109" s="6">
        <f>$K$109*$Y$109</f>
        <v>0</v>
      </c>
      <c r="AF109" s="6">
        <f ca="1">$M$109*$Z$109</f>
        <v>561.5306356289974</v>
      </c>
      <c r="AG109" s="6">
        <f>$O$109*$AA$109</f>
        <v>97.567064221613563</v>
      </c>
    </row>
    <row r="110" spans="1:33" ht="11.25" customHeight="1" x14ac:dyDescent="0.25">
      <c r="A110" s="4" t="s">
        <v>21</v>
      </c>
      <c r="B110" s="4" t="s">
        <v>22</v>
      </c>
      <c r="C110" s="4" t="s">
        <v>23</v>
      </c>
      <c r="D110" s="4" t="s">
        <v>24</v>
      </c>
      <c r="E110" s="4" t="s">
        <v>24</v>
      </c>
      <c r="F110" s="4" t="s">
        <v>25</v>
      </c>
      <c r="G110" s="4" t="s">
        <v>25</v>
      </c>
      <c r="H110" s="4" t="s">
        <v>25</v>
      </c>
      <c r="I110" s="5">
        <v>44562</v>
      </c>
      <c r="J110" s="6">
        <v>0</v>
      </c>
      <c r="K110" s="6">
        <v>0</v>
      </c>
      <c r="L110" s="6">
        <v>1096.056</v>
      </c>
      <c r="M110" s="6">
        <v>1096.056</v>
      </c>
      <c r="N110" s="6">
        <v>1096.056</v>
      </c>
      <c r="O110" s="6">
        <v>1096.056</v>
      </c>
      <c r="P110" s="6">
        <v>6066</v>
      </c>
      <c r="Q110" s="4" t="s">
        <v>26</v>
      </c>
      <c r="R110" s="4">
        <v>0</v>
      </c>
      <c r="S110" s="6">
        <v>0</v>
      </c>
      <c r="T110" s="6">
        <v>24</v>
      </c>
      <c r="U110" s="6">
        <v>26</v>
      </c>
      <c r="V110" s="6">
        <f>IF(ISERROR(VLOOKUP($S$110,'TAR FIN'!$A$1:$O$86,15,0)),0,VLOOKUP($S$110,'TAR FIN'!$A$1:$O$86,15,0))</f>
        <v>0</v>
      </c>
      <c r="W110" s="6">
        <f>IF(ISERROR(VLOOKUP($T$110,'TAR FIN'!$A$1:$O$86,15,0)),0,VLOOKUP($T$110,'TAR FIN'!$A$1:$O$86,15,0))</f>
        <v>556.84</v>
      </c>
      <c r="X110" s="6">
        <f>IF(ISERROR(VLOOKUP($U$110,'TAR FIN'!$A$1:$O$86,15,0)),0,VLOOKUP($U$110,'TAR FIN'!$A$1:$O$86,15,0))</f>
        <v>131.87</v>
      </c>
      <c r="Y110" s="6"/>
      <c r="Z110" s="6">
        <f ca="1">('TUSD BE'!$AM$20+'TUSD BF'!$AM$20+'TUSD CVA'!$AM$20)*1</f>
        <v>670.0842907267272</v>
      </c>
      <c r="AA110" s="6">
        <f>('TE BE'!$AB$11+'TE BF'!$AB$11+'TE CVA'!$AB$11)*1</f>
        <v>116.42847759142431</v>
      </c>
      <c r="AB110" s="6">
        <f>$K$110*$V$110</f>
        <v>0</v>
      </c>
      <c r="AC110" s="6">
        <f>$M$110*$W$110</f>
        <v>610327.82304000005</v>
      </c>
      <c r="AD110" s="6">
        <f>$O$110*$X$110</f>
        <v>144536.90472000002</v>
      </c>
      <c r="AE110" s="6">
        <f>$K$110*$Y$110</f>
        <v>0</v>
      </c>
      <c r="AF110" s="6">
        <f ca="1">$M$110*$Z$110</f>
        <v>734449.90735677374</v>
      </c>
      <c r="AG110" s="6">
        <f>$O$110*$AA$110</f>
        <v>127612.13143494618</v>
      </c>
    </row>
    <row r="111" spans="1:33" ht="11.25" customHeight="1" x14ac:dyDescent="0.25">
      <c r="A111" s="4" t="s">
        <v>27</v>
      </c>
      <c r="B111" s="4" t="s">
        <v>22</v>
      </c>
      <c r="C111" s="4" t="s">
        <v>23</v>
      </c>
      <c r="D111" s="4" t="s">
        <v>24</v>
      </c>
      <c r="E111" s="4" t="s">
        <v>24</v>
      </c>
      <c r="F111" s="4" t="s">
        <v>25</v>
      </c>
      <c r="G111" s="4" t="s">
        <v>25</v>
      </c>
      <c r="H111" s="4" t="s">
        <v>25</v>
      </c>
      <c r="I111" s="5">
        <v>44562</v>
      </c>
      <c r="J111" s="6">
        <v>0</v>
      </c>
      <c r="K111" s="6">
        <v>0</v>
      </c>
      <c r="L111" s="6">
        <v>-0.79900000000000004</v>
      </c>
      <c r="M111" s="6">
        <v>-0.79900000000000004</v>
      </c>
      <c r="N111" s="6">
        <v>-0.79900000000000004</v>
      </c>
      <c r="O111" s="6">
        <v>-0.79900000000000004</v>
      </c>
      <c r="P111" s="6">
        <v>0</v>
      </c>
      <c r="Q111" s="4" t="s">
        <v>26</v>
      </c>
      <c r="R111" s="4">
        <v>0</v>
      </c>
      <c r="S111" s="6">
        <v>0</v>
      </c>
      <c r="T111" s="6">
        <v>24</v>
      </c>
      <c r="U111" s="6">
        <v>26</v>
      </c>
      <c r="V111" s="6">
        <f>IF(ISERROR(VLOOKUP($S$111,'TAR FIN'!$A$1:$O$86,15,0)),0,VLOOKUP($S$111,'TAR FIN'!$A$1:$O$86,15,0))</f>
        <v>0</v>
      </c>
      <c r="W111" s="6">
        <f>IF(ISERROR(VLOOKUP($T$111,'TAR FIN'!$A$1:$O$86,15,0)),0,VLOOKUP($T$111,'TAR FIN'!$A$1:$O$86,15,0))</f>
        <v>556.84</v>
      </c>
      <c r="X111" s="6">
        <f>IF(ISERROR(VLOOKUP($U$111,'TAR FIN'!$A$1:$O$86,15,0)),0,VLOOKUP($U$111,'TAR FIN'!$A$1:$O$86,15,0))</f>
        <v>131.87</v>
      </c>
      <c r="Y111" s="6"/>
      <c r="Z111" s="6">
        <f ca="1">('TUSD BE'!$AM$20+'TUSD BF'!$AM$20+'TUSD CVA'!$AM$20)*1</f>
        <v>670.0842907267272</v>
      </c>
      <c r="AA111" s="6">
        <f>('TE BE'!$AB$11+'TE BF'!$AB$11+'TE CVA'!$AB$11)*1</f>
        <v>116.42847759142431</v>
      </c>
      <c r="AB111" s="6">
        <f>$K$111*$V$111</f>
        <v>0</v>
      </c>
      <c r="AC111" s="6">
        <f>$M$111*$W$111</f>
        <v>-444.91516000000007</v>
      </c>
      <c r="AD111" s="6">
        <f>$O$111*$X$111</f>
        <v>-105.36413</v>
      </c>
      <c r="AE111" s="6">
        <f>$K$111*$Y$111</f>
        <v>0</v>
      </c>
      <c r="AF111" s="6">
        <f ca="1">$M$111*$Z$111</f>
        <v>-535.39734829065503</v>
      </c>
      <c r="AG111" s="6">
        <f>$O$111*$AA$111</f>
        <v>-93.026353595548031</v>
      </c>
    </row>
    <row r="112" spans="1:33" ht="11.25" customHeight="1" x14ac:dyDescent="0.25">
      <c r="A112" s="4" t="s">
        <v>28</v>
      </c>
      <c r="B112" s="4" t="s">
        <v>22</v>
      </c>
      <c r="C112" s="4" t="s">
        <v>23</v>
      </c>
      <c r="D112" s="4" t="s">
        <v>24</v>
      </c>
      <c r="E112" s="4" t="s">
        <v>24</v>
      </c>
      <c r="F112" s="4" t="s">
        <v>25</v>
      </c>
      <c r="G112" s="4" t="s">
        <v>25</v>
      </c>
      <c r="H112" s="4" t="s">
        <v>25</v>
      </c>
      <c r="I112" s="5">
        <v>44562</v>
      </c>
      <c r="J112" s="6">
        <v>0</v>
      </c>
      <c r="K112" s="6">
        <v>0</v>
      </c>
      <c r="L112" s="6">
        <v>1.014</v>
      </c>
      <c r="M112" s="6">
        <v>1.014</v>
      </c>
      <c r="N112" s="6">
        <v>1.014</v>
      </c>
      <c r="O112" s="6">
        <v>1.014</v>
      </c>
      <c r="P112" s="6">
        <v>15</v>
      </c>
      <c r="Q112" s="4" t="s">
        <v>26</v>
      </c>
      <c r="R112" s="4">
        <v>0</v>
      </c>
      <c r="S112" s="6">
        <v>0</v>
      </c>
      <c r="T112" s="6">
        <v>24</v>
      </c>
      <c r="U112" s="6">
        <v>26</v>
      </c>
      <c r="V112" s="6">
        <f>IF(ISERROR(VLOOKUP($S$112,'TAR FIN'!$A$1:$O$86,15,0)),0,VLOOKUP($S$112,'TAR FIN'!$A$1:$O$86,15,0))</f>
        <v>0</v>
      </c>
      <c r="W112" s="6">
        <f>IF(ISERROR(VLOOKUP($T$112,'TAR FIN'!$A$1:$O$86,15,0)),0,VLOOKUP($T$112,'TAR FIN'!$A$1:$O$86,15,0))</f>
        <v>556.84</v>
      </c>
      <c r="X112" s="6">
        <f>IF(ISERROR(VLOOKUP($U$112,'TAR FIN'!$A$1:$O$86,15,0)),0,VLOOKUP($U$112,'TAR FIN'!$A$1:$O$86,15,0))</f>
        <v>131.87</v>
      </c>
      <c r="Y112" s="6"/>
      <c r="Z112" s="6">
        <f ca="1">('TUSD BE'!$AM$20+'TUSD BF'!$AM$20+'TUSD CVA'!$AM$20)*1</f>
        <v>670.0842907267272</v>
      </c>
      <c r="AA112" s="6">
        <f>('TE BE'!$AB$11+'TE BF'!$AB$11+'TE CVA'!$AB$11)*1</f>
        <v>116.42847759142431</v>
      </c>
      <c r="AB112" s="6">
        <f>$K$112*$V$112</f>
        <v>0</v>
      </c>
      <c r="AC112" s="6">
        <f>$M$112*$W$112</f>
        <v>564.63576</v>
      </c>
      <c r="AD112" s="6">
        <f>$O$112*$X$112</f>
        <v>133.71618000000001</v>
      </c>
      <c r="AE112" s="6">
        <f>$K$112*$Y$112</f>
        <v>0</v>
      </c>
      <c r="AF112" s="6">
        <f ca="1">$M$112*$Z$112</f>
        <v>679.4654707969014</v>
      </c>
      <c r="AG112" s="6">
        <f>$O$112*$AA$112</f>
        <v>118.05847627770426</v>
      </c>
    </row>
    <row r="113" spans="1:33" ht="11.25" customHeight="1" x14ac:dyDescent="0.25">
      <c r="A113" s="4" t="s">
        <v>21</v>
      </c>
      <c r="B113" s="4" t="s">
        <v>22</v>
      </c>
      <c r="C113" s="4" t="s">
        <v>23</v>
      </c>
      <c r="D113" s="4" t="s">
        <v>24</v>
      </c>
      <c r="E113" s="4" t="s">
        <v>24</v>
      </c>
      <c r="F113" s="4" t="s">
        <v>25</v>
      </c>
      <c r="G113" s="4" t="s">
        <v>25</v>
      </c>
      <c r="H113" s="4" t="s">
        <v>25</v>
      </c>
      <c r="I113" s="5">
        <v>44593</v>
      </c>
      <c r="J113" s="6">
        <v>0</v>
      </c>
      <c r="K113" s="6">
        <v>0</v>
      </c>
      <c r="L113" s="6">
        <v>990.07399999999996</v>
      </c>
      <c r="M113" s="6">
        <v>990.07399999999996</v>
      </c>
      <c r="N113" s="6">
        <v>990.07399999999996</v>
      </c>
      <c r="O113" s="6">
        <v>990.07399999999996</v>
      </c>
      <c r="P113" s="6">
        <v>5995</v>
      </c>
      <c r="Q113" s="4" t="s">
        <v>26</v>
      </c>
      <c r="R113" s="4">
        <v>0</v>
      </c>
      <c r="S113" s="6">
        <v>0</v>
      </c>
      <c r="T113" s="6">
        <v>24</v>
      </c>
      <c r="U113" s="6">
        <v>26</v>
      </c>
      <c r="V113" s="6">
        <f>IF(ISERROR(VLOOKUP($S$113,'TAR FIN'!$A$1:$O$86,15,0)),0,VLOOKUP($S$113,'TAR FIN'!$A$1:$O$86,15,0))</f>
        <v>0</v>
      </c>
      <c r="W113" s="6">
        <f>IF(ISERROR(VLOOKUP($T$113,'TAR FIN'!$A$1:$O$86,15,0)),0,VLOOKUP($T$113,'TAR FIN'!$A$1:$O$86,15,0))</f>
        <v>556.84</v>
      </c>
      <c r="X113" s="6">
        <f>IF(ISERROR(VLOOKUP($U$113,'TAR FIN'!$A$1:$O$86,15,0)),0,VLOOKUP($U$113,'TAR FIN'!$A$1:$O$86,15,0))</f>
        <v>131.87</v>
      </c>
      <c r="Y113" s="6"/>
      <c r="Z113" s="6">
        <f ca="1">('TUSD BE'!$AM$20+'TUSD BF'!$AM$20+'TUSD CVA'!$AM$20)*1</f>
        <v>670.0842907267272</v>
      </c>
      <c r="AA113" s="6">
        <f>('TE BE'!$AB$11+'TE BF'!$AB$11+'TE CVA'!$AB$11)*1</f>
        <v>116.42847759142431</v>
      </c>
      <c r="AB113" s="6">
        <f>$K$113*$V$113</f>
        <v>0</v>
      </c>
      <c r="AC113" s="6">
        <f>$M$113*$W$113</f>
        <v>551312.80616000004</v>
      </c>
      <c r="AD113" s="6">
        <f>$O$113*$X$113</f>
        <v>130561.05838</v>
      </c>
      <c r="AE113" s="6">
        <f>$K$113*$Y$113</f>
        <v>0</v>
      </c>
      <c r="AF113" s="6">
        <f ca="1">$M$113*$Z$113</f>
        <v>663433.03405697364</v>
      </c>
      <c r="AG113" s="6">
        <f>$O$113*$AA$113</f>
        <v>115272.80852285183</v>
      </c>
    </row>
    <row r="114" spans="1:33" ht="11.25" customHeight="1" x14ac:dyDescent="0.25">
      <c r="A114" s="4" t="s">
        <v>27</v>
      </c>
      <c r="B114" s="4" t="s">
        <v>22</v>
      </c>
      <c r="C114" s="4" t="s">
        <v>23</v>
      </c>
      <c r="D114" s="4" t="s">
        <v>24</v>
      </c>
      <c r="E114" s="4" t="s">
        <v>24</v>
      </c>
      <c r="F114" s="4" t="s">
        <v>25</v>
      </c>
      <c r="G114" s="4" t="s">
        <v>25</v>
      </c>
      <c r="H114" s="4" t="s">
        <v>25</v>
      </c>
      <c r="I114" s="5">
        <v>44593</v>
      </c>
      <c r="J114" s="6">
        <v>0</v>
      </c>
      <c r="K114" s="6">
        <v>0</v>
      </c>
      <c r="L114" s="6">
        <v>-0.109</v>
      </c>
      <c r="M114" s="6">
        <v>-0.109</v>
      </c>
      <c r="N114" s="6">
        <v>-0.109</v>
      </c>
      <c r="O114" s="6">
        <v>-0.109</v>
      </c>
      <c r="P114" s="6">
        <v>0</v>
      </c>
      <c r="Q114" s="4" t="s">
        <v>26</v>
      </c>
      <c r="R114" s="4">
        <v>0</v>
      </c>
      <c r="S114" s="6">
        <v>0</v>
      </c>
      <c r="T114" s="6">
        <v>24</v>
      </c>
      <c r="U114" s="6">
        <v>26</v>
      </c>
      <c r="V114" s="6">
        <f>IF(ISERROR(VLOOKUP($S$114,'TAR FIN'!$A$1:$O$86,15,0)),0,VLOOKUP($S$114,'TAR FIN'!$A$1:$O$86,15,0))</f>
        <v>0</v>
      </c>
      <c r="W114" s="6">
        <f>IF(ISERROR(VLOOKUP($T$114,'TAR FIN'!$A$1:$O$86,15,0)),0,VLOOKUP($T$114,'TAR FIN'!$A$1:$O$86,15,0))</f>
        <v>556.84</v>
      </c>
      <c r="X114" s="6">
        <f>IF(ISERROR(VLOOKUP($U$114,'TAR FIN'!$A$1:$O$86,15,0)),0,VLOOKUP($U$114,'TAR FIN'!$A$1:$O$86,15,0))</f>
        <v>131.87</v>
      </c>
      <c r="Y114" s="6"/>
      <c r="Z114" s="6">
        <f ca="1">('TUSD BE'!$AM$20+'TUSD BF'!$AM$20+'TUSD CVA'!$AM$20)*1</f>
        <v>670.0842907267272</v>
      </c>
      <c r="AA114" s="6">
        <f>('TE BE'!$AB$11+'TE BF'!$AB$11+'TE CVA'!$AB$11)*1</f>
        <v>116.42847759142431</v>
      </c>
      <c r="AB114" s="6">
        <f>$K$114*$V$114</f>
        <v>0</v>
      </c>
      <c r="AC114" s="6">
        <f>$M$114*$W$114</f>
        <v>-60.69556</v>
      </c>
      <c r="AD114" s="6">
        <f>$O$114*$X$114</f>
        <v>-14.37383</v>
      </c>
      <c r="AE114" s="6">
        <f>$K$114*$Y$114</f>
        <v>0</v>
      </c>
      <c r="AF114" s="6">
        <f ca="1">$M$114*$Z$114</f>
        <v>-73.039187689213264</v>
      </c>
      <c r="AG114" s="6">
        <f>$O$114*$AA$114</f>
        <v>-12.690704057465251</v>
      </c>
    </row>
    <row r="115" spans="1:33" ht="11.25" customHeight="1" x14ac:dyDescent="0.25">
      <c r="A115" s="4" t="s">
        <v>28</v>
      </c>
      <c r="B115" s="4" t="s">
        <v>22</v>
      </c>
      <c r="C115" s="4" t="s">
        <v>23</v>
      </c>
      <c r="D115" s="4" t="s">
        <v>24</v>
      </c>
      <c r="E115" s="4" t="s">
        <v>24</v>
      </c>
      <c r="F115" s="4" t="s">
        <v>25</v>
      </c>
      <c r="G115" s="4" t="s">
        <v>25</v>
      </c>
      <c r="H115" s="4" t="s">
        <v>25</v>
      </c>
      <c r="I115" s="5">
        <v>44593</v>
      </c>
      <c r="J115" s="6">
        <v>0</v>
      </c>
      <c r="K115" s="6">
        <v>0</v>
      </c>
      <c r="L115" s="6">
        <v>1.32</v>
      </c>
      <c r="M115" s="6">
        <v>1.32</v>
      </c>
      <c r="N115" s="6">
        <v>1.32</v>
      </c>
      <c r="O115" s="6">
        <v>1.32</v>
      </c>
      <c r="P115" s="6">
        <v>17</v>
      </c>
      <c r="Q115" s="4" t="s">
        <v>26</v>
      </c>
      <c r="R115" s="4">
        <v>0</v>
      </c>
      <c r="S115" s="6">
        <v>0</v>
      </c>
      <c r="T115" s="6">
        <v>24</v>
      </c>
      <c r="U115" s="6">
        <v>26</v>
      </c>
      <c r="V115" s="6">
        <f>IF(ISERROR(VLOOKUP($S$115,'TAR FIN'!$A$1:$O$86,15,0)),0,VLOOKUP($S$115,'TAR FIN'!$A$1:$O$86,15,0))</f>
        <v>0</v>
      </c>
      <c r="W115" s="6">
        <f>IF(ISERROR(VLOOKUP($T$115,'TAR FIN'!$A$1:$O$86,15,0)),0,VLOOKUP($T$115,'TAR FIN'!$A$1:$O$86,15,0))</f>
        <v>556.84</v>
      </c>
      <c r="X115" s="6">
        <f>IF(ISERROR(VLOOKUP($U$115,'TAR FIN'!$A$1:$O$86,15,0)),0,VLOOKUP($U$115,'TAR FIN'!$A$1:$O$86,15,0))</f>
        <v>131.87</v>
      </c>
      <c r="Y115" s="6"/>
      <c r="Z115" s="6">
        <f ca="1">('TUSD BE'!$AM$20+'TUSD BF'!$AM$20+'TUSD CVA'!$AM$20)*1</f>
        <v>670.0842907267272</v>
      </c>
      <c r="AA115" s="6">
        <f>('TE BE'!$AB$11+'TE BF'!$AB$11+'TE CVA'!$AB$11)*1</f>
        <v>116.42847759142431</v>
      </c>
      <c r="AB115" s="6">
        <f>$K$115*$V$115</f>
        <v>0</v>
      </c>
      <c r="AC115" s="6">
        <f>$M$115*$W$115</f>
        <v>735.02880000000005</v>
      </c>
      <c r="AD115" s="6">
        <f>$O$115*$X$115</f>
        <v>174.06840000000003</v>
      </c>
      <c r="AE115" s="6">
        <f>$K$115*$Y$115</f>
        <v>0</v>
      </c>
      <c r="AF115" s="6">
        <f ca="1">$M$115*$Z$115</f>
        <v>884.51126375927993</v>
      </c>
      <c r="AG115" s="6">
        <f>$O$115*$AA$115</f>
        <v>153.68559042068009</v>
      </c>
    </row>
    <row r="116" spans="1:33" ht="11.25" customHeight="1" x14ac:dyDescent="0.25">
      <c r="A116" s="4" t="s">
        <v>21</v>
      </c>
      <c r="B116" s="4" t="s">
        <v>22</v>
      </c>
      <c r="C116" s="4" t="s">
        <v>23</v>
      </c>
      <c r="D116" s="4" t="s">
        <v>24</v>
      </c>
      <c r="E116" s="4" t="s">
        <v>24</v>
      </c>
      <c r="F116" s="4" t="s">
        <v>25</v>
      </c>
      <c r="G116" s="4" t="s">
        <v>25</v>
      </c>
      <c r="H116" s="4" t="s">
        <v>25</v>
      </c>
      <c r="I116" s="5">
        <v>44621</v>
      </c>
      <c r="J116" s="6">
        <v>0</v>
      </c>
      <c r="K116" s="6">
        <v>0</v>
      </c>
      <c r="L116" s="6">
        <v>918.66</v>
      </c>
      <c r="M116" s="6">
        <v>918.66</v>
      </c>
      <c r="N116" s="6">
        <v>918.66</v>
      </c>
      <c r="O116" s="6">
        <v>918.66</v>
      </c>
      <c r="P116" s="6">
        <v>5776</v>
      </c>
      <c r="Q116" s="4" t="s">
        <v>26</v>
      </c>
      <c r="R116" s="4">
        <v>0</v>
      </c>
      <c r="S116" s="6">
        <v>0</v>
      </c>
      <c r="T116" s="6">
        <v>24</v>
      </c>
      <c r="U116" s="6">
        <v>26</v>
      </c>
      <c r="V116" s="6">
        <f>IF(ISERROR(VLOOKUP($S$116,'TAR FIN'!$A$1:$O$86,15,0)),0,VLOOKUP($S$116,'TAR FIN'!$A$1:$O$86,15,0))</f>
        <v>0</v>
      </c>
      <c r="W116" s="6">
        <f>IF(ISERROR(VLOOKUP($T$116,'TAR FIN'!$A$1:$O$86,15,0)),0,VLOOKUP($T$116,'TAR FIN'!$A$1:$O$86,15,0))</f>
        <v>556.84</v>
      </c>
      <c r="X116" s="6">
        <f>IF(ISERROR(VLOOKUP($U$116,'TAR FIN'!$A$1:$O$86,15,0)),0,VLOOKUP($U$116,'TAR FIN'!$A$1:$O$86,15,0))</f>
        <v>131.87</v>
      </c>
      <c r="Y116" s="6"/>
      <c r="Z116" s="6">
        <f ca="1">('TUSD BE'!$AM$20+'TUSD BF'!$AM$20+'TUSD CVA'!$AM$20)*1</f>
        <v>670.0842907267272</v>
      </c>
      <c r="AA116" s="6">
        <f>('TE BE'!$AB$11+'TE BF'!$AB$11+'TE CVA'!$AB$11)*1</f>
        <v>116.42847759142431</v>
      </c>
      <c r="AB116" s="6">
        <f>$K$116*$V$116</f>
        <v>0</v>
      </c>
      <c r="AC116" s="6">
        <f>$M$116*$W$116</f>
        <v>511546.63440000004</v>
      </c>
      <c r="AD116" s="6">
        <f>$O$116*$X$116</f>
        <v>121143.6942</v>
      </c>
      <c r="AE116" s="6">
        <f>$K$116*$Y$116</f>
        <v>0</v>
      </c>
      <c r="AF116" s="6">
        <f ca="1">$M$116*$Z$116</f>
        <v>615579.63451901521</v>
      </c>
      <c r="AG116" s="6">
        <f>$O$116*$AA$116</f>
        <v>106958.18522413785</v>
      </c>
    </row>
    <row r="117" spans="1:33" ht="11.25" customHeight="1" x14ac:dyDescent="0.25">
      <c r="A117" s="4" t="s">
        <v>27</v>
      </c>
      <c r="B117" s="4" t="s">
        <v>22</v>
      </c>
      <c r="C117" s="4" t="s">
        <v>23</v>
      </c>
      <c r="D117" s="4" t="s">
        <v>24</v>
      </c>
      <c r="E117" s="4" t="s">
        <v>24</v>
      </c>
      <c r="F117" s="4" t="s">
        <v>25</v>
      </c>
      <c r="G117" s="4" t="s">
        <v>25</v>
      </c>
      <c r="H117" s="4" t="s">
        <v>25</v>
      </c>
      <c r="I117" s="5">
        <v>44621</v>
      </c>
      <c r="J117" s="6">
        <v>0</v>
      </c>
      <c r="K117" s="6">
        <v>0</v>
      </c>
      <c r="L117" s="6">
        <v>-0.158</v>
      </c>
      <c r="M117" s="6">
        <v>-0.158</v>
      </c>
      <c r="N117" s="6">
        <v>-0.158</v>
      </c>
      <c r="O117" s="6">
        <v>-0.158</v>
      </c>
      <c r="P117" s="6">
        <v>0</v>
      </c>
      <c r="Q117" s="4" t="s">
        <v>26</v>
      </c>
      <c r="R117" s="4">
        <v>0</v>
      </c>
      <c r="S117" s="6">
        <v>0</v>
      </c>
      <c r="T117" s="6">
        <v>24</v>
      </c>
      <c r="U117" s="6">
        <v>26</v>
      </c>
      <c r="V117" s="6">
        <f>IF(ISERROR(VLOOKUP($S$117,'TAR FIN'!$A$1:$O$86,15,0)),0,VLOOKUP($S$117,'TAR FIN'!$A$1:$O$86,15,0))</f>
        <v>0</v>
      </c>
      <c r="W117" s="6">
        <f>IF(ISERROR(VLOOKUP($T$117,'TAR FIN'!$A$1:$O$86,15,0)),0,VLOOKUP($T$117,'TAR FIN'!$A$1:$O$86,15,0))</f>
        <v>556.84</v>
      </c>
      <c r="X117" s="6">
        <f>IF(ISERROR(VLOOKUP($U$117,'TAR FIN'!$A$1:$O$86,15,0)),0,VLOOKUP($U$117,'TAR FIN'!$A$1:$O$86,15,0))</f>
        <v>131.87</v>
      </c>
      <c r="Y117" s="6"/>
      <c r="Z117" s="6">
        <f ca="1">('TUSD BE'!$AM$20+'TUSD BF'!$AM$20+'TUSD CVA'!$AM$20)*1</f>
        <v>670.0842907267272</v>
      </c>
      <c r="AA117" s="6">
        <f>('TE BE'!$AB$11+'TE BF'!$AB$11+'TE CVA'!$AB$11)*1</f>
        <v>116.42847759142431</v>
      </c>
      <c r="AB117" s="6">
        <f>$K$117*$V$117</f>
        <v>0</v>
      </c>
      <c r="AC117" s="6">
        <f>$M$117*$W$117</f>
        <v>-87.980720000000005</v>
      </c>
      <c r="AD117" s="6">
        <f>$O$117*$X$117</f>
        <v>-20.835460000000001</v>
      </c>
      <c r="AE117" s="6">
        <f>$K$117*$Y$117</f>
        <v>0</v>
      </c>
      <c r="AF117" s="6">
        <f ca="1">$M$117*$Z$117</f>
        <v>-105.87331793482289</v>
      </c>
      <c r="AG117" s="6">
        <f>$O$117*$AA$117</f>
        <v>-18.395699459445041</v>
      </c>
    </row>
    <row r="118" spans="1:33" ht="11.25" customHeight="1" x14ac:dyDescent="0.25">
      <c r="A118" s="4" t="s">
        <v>28</v>
      </c>
      <c r="B118" s="4" t="s">
        <v>22</v>
      </c>
      <c r="C118" s="4" t="s">
        <v>23</v>
      </c>
      <c r="D118" s="4" t="s">
        <v>24</v>
      </c>
      <c r="E118" s="4" t="s">
        <v>24</v>
      </c>
      <c r="F118" s="4" t="s">
        <v>25</v>
      </c>
      <c r="G118" s="4" t="s">
        <v>25</v>
      </c>
      <c r="H118" s="4" t="s">
        <v>25</v>
      </c>
      <c r="I118" s="5">
        <v>44621</v>
      </c>
      <c r="J118" s="6">
        <v>0</v>
      </c>
      <c r="K118" s="6">
        <v>0</v>
      </c>
      <c r="L118" s="6">
        <v>1.3049999999999999</v>
      </c>
      <c r="M118" s="6">
        <v>1.3049999999999999</v>
      </c>
      <c r="N118" s="6">
        <v>1.3049999999999999</v>
      </c>
      <c r="O118" s="6">
        <v>1.3049999999999999</v>
      </c>
      <c r="P118" s="6">
        <v>18</v>
      </c>
      <c r="Q118" s="4" t="s">
        <v>26</v>
      </c>
      <c r="R118" s="4">
        <v>0</v>
      </c>
      <c r="S118" s="6">
        <v>0</v>
      </c>
      <c r="T118" s="6">
        <v>24</v>
      </c>
      <c r="U118" s="6">
        <v>26</v>
      </c>
      <c r="V118" s="6">
        <f>IF(ISERROR(VLOOKUP($S$118,'TAR FIN'!$A$1:$O$86,15,0)),0,VLOOKUP($S$118,'TAR FIN'!$A$1:$O$86,15,0))</f>
        <v>0</v>
      </c>
      <c r="W118" s="6">
        <f>IF(ISERROR(VLOOKUP($T$118,'TAR FIN'!$A$1:$O$86,15,0)),0,VLOOKUP($T$118,'TAR FIN'!$A$1:$O$86,15,0))</f>
        <v>556.84</v>
      </c>
      <c r="X118" s="6">
        <f>IF(ISERROR(VLOOKUP($U$118,'TAR FIN'!$A$1:$O$86,15,0)),0,VLOOKUP($U$118,'TAR FIN'!$A$1:$O$86,15,0))</f>
        <v>131.87</v>
      </c>
      <c r="Y118" s="6"/>
      <c r="Z118" s="6">
        <f ca="1">('TUSD BE'!$AM$20+'TUSD BF'!$AM$20+'TUSD CVA'!$AM$20)*1</f>
        <v>670.0842907267272</v>
      </c>
      <c r="AA118" s="6">
        <f>('TE BE'!$AB$11+'TE BF'!$AB$11+'TE CVA'!$AB$11)*1</f>
        <v>116.42847759142431</v>
      </c>
      <c r="AB118" s="6">
        <f>$K$118*$V$118</f>
        <v>0</v>
      </c>
      <c r="AC118" s="6">
        <f>$M$118*$W$118</f>
        <v>726.67619999999999</v>
      </c>
      <c r="AD118" s="6">
        <f>$O$118*$X$118</f>
        <v>172.09035</v>
      </c>
      <c r="AE118" s="6">
        <f>$K$118*$Y$118</f>
        <v>0</v>
      </c>
      <c r="AF118" s="6">
        <f ca="1">$M$118*$Z$118</f>
        <v>874.45999939837895</v>
      </c>
      <c r="AG118" s="6">
        <f>$O$118*$AA$118</f>
        <v>151.93916325680871</v>
      </c>
    </row>
    <row r="119" spans="1:33" ht="11.25" customHeight="1" x14ac:dyDescent="0.25">
      <c r="A119" s="4" t="s">
        <v>21</v>
      </c>
      <c r="B119" s="4" t="s">
        <v>22</v>
      </c>
      <c r="C119" s="4" t="s">
        <v>23</v>
      </c>
      <c r="D119" s="4" t="s">
        <v>24</v>
      </c>
      <c r="E119" s="4" t="s">
        <v>24</v>
      </c>
      <c r="F119" s="4" t="s">
        <v>25</v>
      </c>
      <c r="G119" s="4" t="s">
        <v>25</v>
      </c>
      <c r="H119" s="4" t="s">
        <v>25</v>
      </c>
      <c r="I119" s="5">
        <v>44652</v>
      </c>
      <c r="J119" s="6">
        <v>0</v>
      </c>
      <c r="K119" s="6">
        <v>0</v>
      </c>
      <c r="L119" s="6">
        <v>942.64200000000005</v>
      </c>
      <c r="M119" s="6">
        <v>942.64200000000005</v>
      </c>
      <c r="N119" s="6">
        <v>942.64200000000005</v>
      </c>
      <c r="O119" s="6">
        <v>942.64200000000005</v>
      </c>
      <c r="P119" s="6">
        <v>5603</v>
      </c>
      <c r="Q119" s="4" t="s">
        <v>26</v>
      </c>
      <c r="R119" s="4">
        <v>0</v>
      </c>
      <c r="S119" s="6">
        <v>0</v>
      </c>
      <c r="T119" s="6">
        <v>24</v>
      </c>
      <c r="U119" s="6">
        <v>26</v>
      </c>
      <c r="V119" s="6">
        <f>IF(ISERROR(VLOOKUP($S$119,'TAR FIN'!$A$1:$O$86,15,0)),0,VLOOKUP($S$119,'TAR FIN'!$A$1:$O$86,15,0))</f>
        <v>0</v>
      </c>
      <c r="W119" s="6">
        <f>IF(ISERROR(VLOOKUP($T$119,'TAR FIN'!$A$1:$O$86,15,0)),0,VLOOKUP($T$119,'TAR FIN'!$A$1:$O$86,15,0))</f>
        <v>556.84</v>
      </c>
      <c r="X119" s="6">
        <f>IF(ISERROR(VLOOKUP($U$119,'TAR FIN'!$A$1:$O$86,15,0)),0,VLOOKUP($U$119,'TAR FIN'!$A$1:$O$86,15,0))</f>
        <v>131.87</v>
      </c>
      <c r="Y119" s="6"/>
      <c r="Z119" s="6">
        <f ca="1">('TUSD BE'!$AM$20+'TUSD BF'!$AM$20+'TUSD CVA'!$AM$20)*1</f>
        <v>670.0842907267272</v>
      </c>
      <c r="AA119" s="6">
        <f>('TE BE'!$AB$11+'TE BF'!$AB$11+'TE CVA'!$AB$11)*1</f>
        <v>116.42847759142431</v>
      </c>
      <c r="AB119" s="6">
        <f>$K$119*$V$119</f>
        <v>0</v>
      </c>
      <c r="AC119" s="6">
        <f>$M$119*$W$119</f>
        <v>524900.7712800001</v>
      </c>
      <c r="AD119" s="6">
        <f>$O$119*$X$119</f>
        <v>124306.20054000001</v>
      </c>
      <c r="AE119" s="6">
        <f>$K$119*$Y$119</f>
        <v>0</v>
      </c>
      <c r="AF119" s="6">
        <f ca="1">$M$119*$Z$119</f>
        <v>631649.59597922361</v>
      </c>
      <c r="AG119" s="6">
        <f>$O$119*$AA$119</f>
        <v>109750.3729737354</v>
      </c>
    </row>
    <row r="120" spans="1:33" ht="11.25" customHeight="1" x14ac:dyDescent="0.25">
      <c r="A120" s="4" t="s">
        <v>27</v>
      </c>
      <c r="B120" s="4" t="s">
        <v>22</v>
      </c>
      <c r="C120" s="4" t="s">
        <v>23</v>
      </c>
      <c r="D120" s="4" t="s">
        <v>24</v>
      </c>
      <c r="E120" s="4" t="s">
        <v>24</v>
      </c>
      <c r="F120" s="4" t="s">
        <v>25</v>
      </c>
      <c r="G120" s="4" t="s">
        <v>25</v>
      </c>
      <c r="H120" s="4" t="s">
        <v>25</v>
      </c>
      <c r="I120" s="5">
        <v>44652</v>
      </c>
      <c r="J120" s="6">
        <v>0</v>
      </c>
      <c r="K120" s="6">
        <v>0</v>
      </c>
      <c r="L120" s="6">
        <v>-0.222</v>
      </c>
      <c r="M120" s="6">
        <v>-0.222</v>
      </c>
      <c r="N120" s="6">
        <v>-0.222</v>
      </c>
      <c r="O120" s="6">
        <v>-0.222</v>
      </c>
      <c r="P120" s="6">
        <v>0</v>
      </c>
      <c r="Q120" s="4" t="s">
        <v>26</v>
      </c>
      <c r="R120" s="4">
        <v>0</v>
      </c>
      <c r="S120" s="6">
        <v>0</v>
      </c>
      <c r="T120" s="6">
        <v>24</v>
      </c>
      <c r="U120" s="6">
        <v>26</v>
      </c>
      <c r="V120" s="6">
        <f>IF(ISERROR(VLOOKUP($S$120,'TAR FIN'!$A$1:$O$86,15,0)),0,VLOOKUP($S$120,'TAR FIN'!$A$1:$O$86,15,0))</f>
        <v>0</v>
      </c>
      <c r="W120" s="6">
        <f>IF(ISERROR(VLOOKUP($T$120,'TAR FIN'!$A$1:$O$86,15,0)),0,VLOOKUP($T$120,'TAR FIN'!$A$1:$O$86,15,0))</f>
        <v>556.84</v>
      </c>
      <c r="X120" s="6">
        <f>IF(ISERROR(VLOOKUP($U$120,'TAR FIN'!$A$1:$O$86,15,0)),0,VLOOKUP($U$120,'TAR FIN'!$A$1:$O$86,15,0))</f>
        <v>131.87</v>
      </c>
      <c r="Y120" s="6"/>
      <c r="Z120" s="6">
        <f ca="1">('TUSD BE'!$AM$20+'TUSD BF'!$AM$20+'TUSD CVA'!$AM$20)*1</f>
        <v>670.0842907267272</v>
      </c>
      <c r="AA120" s="6">
        <f>('TE BE'!$AB$11+'TE BF'!$AB$11+'TE CVA'!$AB$11)*1</f>
        <v>116.42847759142431</v>
      </c>
      <c r="AB120" s="6">
        <f>$K$120*$V$120</f>
        <v>0</v>
      </c>
      <c r="AC120" s="6">
        <f>$M$120*$W$120</f>
        <v>-123.61848000000001</v>
      </c>
      <c r="AD120" s="6">
        <f>$O$120*$X$120</f>
        <v>-29.27514</v>
      </c>
      <c r="AE120" s="6">
        <f>$K$120*$Y$120</f>
        <v>0</v>
      </c>
      <c r="AF120" s="6">
        <f ca="1">$M$120*$Z$120</f>
        <v>-148.75871254133344</v>
      </c>
      <c r="AG120" s="6">
        <f>$O$120*$AA$120</f>
        <v>-25.847122025296198</v>
      </c>
    </row>
    <row r="121" spans="1:33" ht="11.25" customHeight="1" x14ac:dyDescent="0.25">
      <c r="A121" s="4" t="s">
        <v>28</v>
      </c>
      <c r="B121" s="4" t="s">
        <v>22</v>
      </c>
      <c r="C121" s="4" t="s">
        <v>23</v>
      </c>
      <c r="D121" s="4" t="s">
        <v>24</v>
      </c>
      <c r="E121" s="4" t="s">
        <v>24</v>
      </c>
      <c r="F121" s="4" t="s">
        <v>25</v>
      </c>
      <c r="G121" s="4" t="s">
        <v>25</v>
      </c>
      <c r="H121" s="4" t="s">
        <v>25</v>
      </c>
      <c r="I121" s="5">
        <v>44652</v>
      </c>
      <c r="J121" s="6">
        <v>0</v>
      </c>
      <c r="K121" s="6">
        <v>0</v>
      </c>
      <c r="L121" s="6">
        <v>1.571</v>
      </c>
      <c r="M121" s="6">
        <v>1.571</v>
      </c>
      <c r="N121" s="6">
        <v>1.571</v>
      </c>
      <c r="O121" s="6">
        <v>1.571</v>
      </c>
      <c r="P121" s="6">
        <v>18</v>
      </c>
      <c r="Q121" s="4" t="s">
        <v>26</v>
      </c>
      <c r="R121" s="4">
        <v>0</v>
      </c>
      <c r="S121" s="6">
        <v>0</v>
      </c>
      <c r="T121" s="6">
        <v>24</v>
      </c>
      <c r="U121" s="6">
        <v>26</v>
      </c>
      <c r="V121" s="6">
        <f>IF(ISERROR(VLOOKUP($S$121,'TAR FIN'!$A$1:$O$86,15,0)),0,VLOOKUP($S$121,'TAR FIN'!$A$1:$O$86,15,0))</f>
        <v>0</v>
      </c>
      <c r="W121" s="6">
        <f>IF(ISERROR(VLOOKUP($T$121,'TAR FIN'!$A$1:$O$86,15,0)),0,VLOOKUP($T$121,'TAR FIN'!$A$1:$O$86,15,0))</f>
        <v>556.84</v>
      </c>
      <c r="X121" s="6">
        <f>IF(ISERROR(VLOOKUP($U$121,'TAR FIN'!$A$1:$O$86,15,0)),0,VLOOKUP($U$121,'TAR FIN'!$A$1:$O$86,15,0))</f>
        <v>131.87</v>
      </c>
      <c r="Y121" s="6"/>
      <c r="Z121" s="6">
        <f ca="1">('TUSD BE'!$AM$20+'TUSD BF'!$AM$20+'TUSD CVA'!$AM$20)*1</f>
        <v>670.0842907267272</v>
      </c>
      <c r="AA121" s="6">
        <f>('TE BE'!$AB$11+'TE BF'!$AB$11+'TE CVA'!$AB$11)*1</f>
        <v>116.42847759142431</v>
      </c>
      <c r="AB121" s="6">
        <f>$K$121*$V$121</f>
        <v>0</v>
      </c>
      <c r="AC121" s="6">
        <f>$M$121*$W$121</f>
        <v>874.79564000000005</v>
      </c>
      <c r="AD121" s="6">
        <f>$O$121*$X$121</f>
        <v>207.16776999999999</v>
      </c>
      <c r="AE121" s="6">
        <f>$K$121*$Y$121</f>
        <v>0</v>
      </c>
      <c r="AF121" s="6">
        <f ca="1">$M$121*$Z$121</f>
        <v>1052.7024207316883</v>
      </c>
      <c r="AG121" s="6">
        <f>$O$121*$AA$121</f>
        <v>182.90913829612759</v>
      </c>
    </row>
    <row r="122" spans="1:33" ht="11.25" customHeight="1" x14ac:dyDescent="0.25">
      <c r="A122" s="4" t="s">
        <v>21</v>
      </c>
      <c r="B122" s="4" t="s">
        <v>22</v>
      </c>
      <c r="C122" s="4" t="s">
        <v>23</v>
      </c>
      <c r="D122" s="4" t="s">
        <v>24</v>
      </c>
      <c r="E122" s="4" t="s">
        <v>24</v>
      </c>
      <c r="F122" s="4" t="s">
        <v>25</v>
      </c>
      <c r="G122" s="4" t="s">
        <v>25</v>
      </c>
      <c r="H122" s="4" t="s">
        <v>25</v>
      </c>
      <c r="I122" s="5">
        <v>44682</v>
      </c>
      <c r="J122" s="6">
        <v>0</v>
      </c>
      <c r="K122" s="6">
        <v>0</v>
      </c>
      <c r="L122" s="6">
        <v>863.79399999999998</v>
      </c>
      <c r="M122" s="6">
        <v>863.79399999999998</v>
      </c>
      <c r="N122" s="6">
        <v>863.79399999999998</v>
      </c>
      <c r="O122" s="6">
        <v>863.79399999999998</v>
      </c>
      <c r="P122" s="6">
        <v>5564</v>
      </c>
      <c r="Q122" s="4" t="s">
        <v>26</v>
      </c>
      <c r="R122" s="4">
        <v>0</v>
      </c>
      <c r="S122" s="6">
        <v>0</v>
      </c>
      <c r="T122" s="6">
        <v>24</v>
      </c>
      <c r="U122" s="6">
        <v>26</v>
      </c>
      <c r="V122" s="6">
        <f>IF(ISERROR(VLOOKUP($S$122,'TAR FIN'!$A$1:$O$86,15,0)),0,VLOOKUP($S$122,'TAR FIN'!$A$1:$O$86,15,0))</f>
        <v>0</v>
      </c>
      <c r="W122" s="6">
        <f>IF(ISERROR(VLOOKUP($T$122,'TAR FIN'!$A$1:$O$86,15,0)),0,VLOOKUP($T$122,'TAR FIN'!$A$1:$O$86,15,0))</f>
        <v>556.84</v>
      </c>
      <c r="X122" s="6">
        <f>IF(ISERROR(VLOOKUP($U$122,'TAR FIN'!$A$1:$O$86,15,0)),0,VLOOKUP($U$122,'TAR FIN'!$A$1:$O$86,15,0))</f>
        <v>131.87</v>
      </c>
      <c r="Y122" s="6"/>
      <c r="Z122" s="6">
        <f ca="1">('TUSD BE'!$AM$20+'TUSD BF'!$AM$20+'TUSD CVA'!$AM$20)*1</f>
        <v>670.0842907267272</v>
      </c>
      <c r="AA122" s="6">
        <f>('TE BE'!$AB$11+'TE BF'!$AB$11+'TE CVA'!$AB$11)*1</f>
        <v>116.42847759142431</v>
      </c>
      <c r="AB122" s="6">
        <f>$K$122*$V$122</f>
        <v>0</v>
      </c>
      <c r="AC122" s="6">
        <f>$M$122*$W$122</f>
        <v>480995.05096000002</v>
      </c>
      <c r="AD122" s="6">
        <f>$O$122*$X$122</f>
        <v>113908.51478</v>
      </c>
      <c r="AE122" s="6">
        <f>$K$122*$Y$122</f>
        <v>0</v>
      </c>
      <c r="AF122" s="6">
        <f ca="1">$M$122*$Z$122</f>
        <v>578814.78982400254</v>
      </c>
      <c r="AG122" s="6">
        <f>$O$122*$AA$122</f>
        <v>100570.22037260677</v>
      </c>
    </row>
    <row r="123" spans="1:33" ht="11.25" customHeight="1" x14ac:dyDescent="0.25">
      <c r="A123" s="4" t="s">
        <v>27</v>
      </c>
      <c r="B123" s="4" t="s">
        <v>22</v>
      </c>
      <c r="C123" s="4" t="s">
        <v>23</v>
      </c>
      <c r="D123" s="4" t="s">
        <v>24</v>
      </c>
      <c r="E123" s="4" t="s">
        <v>24</v>
      </c>
      <c r="F123" s="4" t="s">
        <v>25</v>
      </c>
      <c r="G123" s="4" t="s">
        <v>25</v>
      </c>
      <c r="H123" s="4" t="s">
        <v>25</v>
      </c>
      <c r="I123" s="5">
        <v>44682</v>
      </c>
      <c r="J123" s="6">
        <v>0</v>
      </c>
      <c r="K123" s="6">
        <v>0</v>
      </c>
      <c r="L123" s="6">
        <v>2.9000000000000001E-2</v>
      </c>
      <c r="M123" s="6">
        <v>2.9000000000000001E-2</v>
      </c>
      <c r="N123" s="6">
        <v>2.9000000000000001E-2</v>
      </c>
      <c r="O123" s="6">
        <v>2.9000000000000001E-2</v>
      </c>
      <c r="P123" s="6">
        <v>0</v>
      </c>
      <c r="Q123" s="4" t="s">
        <v>26</v>
      </c>
      <c r="R123" s="4">
        <v>0</v>
      </c>
      <c r="S123" s="6">
        <v>0</v>
      </c>
      <c r="T123" s="6">
        <v>24</v>
      </c>
      <c r="U123" s="6">
        <v>26</v>
      </c>
      <c r="V123" s="6">
        <f>IF(ISERROR(VLOOKUP($S$123,'TAR FIN'!$A$1:$O$86,15,0)),0,VLOOKUP($S$123,'TAR FIN'!$A$1:$O$86,15,0))</f>
        <v>0</v>
      </c>
      <c r="W123" s="6">
        <f>IF(ISERROR(VLOOKUP($T$123,'TAR FIN'!$A$1:$O$86,15,0)),0,VLOOKUP($T$123,'TAR FIN'!$A$1:$O$86,15,0))</f>
        <v>556.84</v>
      </c>
      <c r="X123" s="6">
        <f>IF(ISERROR(VLOOKUP($U$123,'TAR FIN'!$A$1:$O$86,15,0)),0,VLOOKUP($U$123,'TAR FIN'!$A$1:$O$86,15,0))</f>
        <v>131.87</v>
      </c>
      <c r="Y123" s="6"/>
      <c r="Z123" s="6">
        <f ca="1">('TUSD BE'!$AM$20+'TUSD BF'!$AM$20+'TUSD CVA'!$AM$20)*1</f>
        <v>670.0842907267272</v>
      </c>
      <c r="AA123" s="6">
        <f>('TE BE'!$AB$11+'TE BF'!$AB$11+'TE CVA'!$AB$11)*1</f>
        <v>116.42847759142431</v>
      </c>
      <c r="AB123" s="6">
        <f>$K$123*$V$123</f>
        <v>0</v>
      </c>
      <c r="AC123" s="6">
        <f>$M$123*$W$123</f>
        <v>16.14836</v>
      </c>
      <c r="AD123" s="6">
        <f>$O$123*$X$123</f>
        <v>3.8242300000000005</v>
      </c>
      <c r="AE123" s="6">
        <f>$K$123*$Y$123</f>
        <v>0</v>
      </c>
      <c r="AF123" s="6">
        <f ca="1">$M$123*$Z$123</f>
        <v>19.432444431075091</v>
      </c>
      <c r="AG123" s="6">
        <f>$O$123*$AA$123</f>
        <v>3.3764258501513051</v>
      </c>
    </row>
    <row r="124" spans="1:33" ht="11.25" customHeight="1" x14ac:dyDescent="0.25">
      <c r="A124" s="4" t="s">
        <v>28</v>
      </c>
      <c r="B124" s="4" t="s">
        <v>22</v>
      </c>
      <c r="C124" s="4" t="s">
        <v>23</v>
      </c>
      <c r="D124" s="4" t="s">
        <v>24</v>
      </c>
      <c r="E124" s="4" t="s">
        <v>24</v>
      </c>
      <c r="F124" s="4" t="s">
        <v>25</v>
      </c>
      <c r="G124" s="4" t="s">
        <v>25</v>
      </c>
      <c r="H124" s="4" t="s">
        <v>25</v>
      </c>
      <c r="I124" s="5">
        <v>44682</v>
      </c>
      <c r="J124" s="6">
        <v>0</v>
      </c>
      <c r="K124" s="6">
        <v>0</v>
      </c>
      <c r="L124" s="6">
        <v>2.11</v>
      </c>
      <c r="M124" s="6">
        <v>2.11</v>
      </c>
      <c r="N124" s="6">
        <v>2.11</v>
      </c>
      <c r="O124" s="6">
        <v>2.11</v>
      </c>
      <c r="P124" s="6">
        <v>20</v>
      </c>
      <c r="Q124" s="4" t="s">
        <v>26</v>
      </c>
      <c r="R124" s="4">
        <v>0</v>
      </c>
      <c r="S124" s="6">
        <v>0</v>
      </c>
      <c r="T124" s="6">
        <v>24</v>
      </c>
      <c r="U124" s="6">
        <v>26</v>
      </c>
      <c r="V124" s="6">
        <f>IF(ISERROR(VLOOKUP($S$124,'TAR FIN'!$A$1:$O$86,15,0)),0,VLOOKUP($S$124,'TAR FIN'!$A$1:$O$86,15,0))</f>
        <v>0</v>
      </c>
      <c r="W124" s="6">
        <f>IF(ISERROR(VLOOKUP($T$124,'TAR FIN'!$A$1:$O$86,15,0)),0,VLOOKUP($T$124,'TAR FIN'!$A$1:$O$86,15,0))</f>
        <v>556.84</v>
      </c>
      <c r="X124" s="6">
        <f>IF(ISERROR(VLOOKUP($U$124,'TAR FIN'!$A$1:$O$86,15,0)),0,VLOOKUP($U$124,'TAR FIN'!$A$1:$O$86,15,0))</f>
        <v>131.87</v>
      </c>
      <c r="Y124" s="6"/>
      <c r="Z124" s="6">
        <f ca="1">('TUSD BE'!$AM$20+'TUSD BF'!$AM$20+'TUSD CVA'!$AM$20)*1</f>
        <v>670.0842907267272</v>
      </c>
      <c r="AA124" s="6">
        <f>('TE BE'!$AB$11+'TE BF'!$AB$11+'TE CVA'!$AB$11)*1</f>
        <v>116.42847759142431</v>
      </c>
      <c r="AB124" s="6">
        <f>$K$124*$V$124</f>
        <v>0</v>
      </c>
      <c r="AC124" s="6">
        <f>$M$124*$W$124</f>
        <v>1174.9323999999999</v>
      </c>
      <c r="AD124" s="6">
        <f>$O$124*$X$124</f>
        <v>278.2457</v>
      </c>
      <c r="AE124" s="6">
        <f>$K$124*$Y$124</f>
        <v>0</v>
      </c>
      <c r="AF124" s="6">
        <f ca="1">$M$124*$Z$124</f>
        <v>1413.8778534333944</v>
      </c>
      <c r="AG124" s="6">
        <f>$O$124*$AA$124</f>
        <v>245.66408771790529</v>
      </c>
    </row>
    <row r="125" spans="1:33" ht="11.25" customHeight="1" x14ac:dyDescent="0.25">
      <c r="A125" s="4" t="s">
        <v>21</v>
      </c>
      <c r="B125" s="4" t="s">
        <v>22</v>
      </c>
      <c r="C125" s="4" t="s">
        <v>23</v>
      </c>
      <c r="D125" s="4" t="s">
        <v>24</v>
      </c>
      <c r="E125" s="4" t="s">
        <v>24</v>
      </c>
      <c r="F125" s="4" t="s">
        <v>25</v>
      </c>
      <c r="G125" s="4" t="s">
        <v>25</v>
      </c>
      <c r="H125" s="4" t="s">
        <v>25</v>
      </c>
      <c r="I125" s="5">
        <v>44713</v>
      </c>
      <c r="J125" s="6">
        <v>0</v>
      </c>
      <c r="K125" s="6">
        <v>0</v>
      </c>
      <c r="L125" s="6">
        <v>920.95500000000004</v>
      </c>
      <c r="M125" s="6">
        <v>920.95500000000004</v>
      </c>
      <c r="N125" s="6">
        <v>920.95500000000004</v>
      </c>
      <c r="O125" s="6">
        <v>920.95500000000004</v>
      </c>
      <c r="P125" s="6">
        <v>5563</v>
      </c>
      <c r="Q125" s="4" t="s">
        <v>26</v>
      </c>
      <c r="R125" s="4">
        <v>0</v>
      </c>
      <c r="S125" s="6">
        <v>0</v>
      </c>
      <c r="T125" s="6">
        <v>24</v>
      </c>
      <c r="U125" s="6">
        <v>26</v>
      </c>
      <c r="V125" s="6">
        <f>IF(ISERROR(VLOOKUP($S$125,'TAR FIN'!$A$1:$O$86,15,0)),0,VLOOKUP($S$125,'TAR FIN'!$A$1:$O$86,15,0))</f>
        <v>0</v>
      </c>
      <c r="W125" s="6">
        <f>IF(ISERROR(VLOOKUP($T$125,'TAR FIN'!$A$1:$O$86,15,0)),0,VLOOKUP($T$125,'TAR FIN'!$A$1:$O$86,15,0))</f>
        <v>556.84</v>
      </c>
      <c r="X125" s="6">
        <f>IF(ISERROR(VLOOKUP($U$125,'TAR FIN'!$A$1:$O$86,15,0)),0,VLOOKUP($U$125,'TAR FIN'!$A$1:$O$86,15,0))</f>
        <v>131.87</v>
      </c>
      <c r="Y125" s="6"/>
      <c r="Z125" s="6">
        <f ca="1">('TUSD BE'!$AM$20+'TUSD BF'!$AM$20+'TUSD CVA'!$AM$20)*1</f>
        <v>670.0842907267272</v>
      </c>
      <c r="AA125" s="6">
        <f>('TE BE'!$AB$11+'TE BF'!$AB$11+'TE CVA'!$AB$11)*1</f>
        <v>116.42847759142431</v>
      </c>
      <c r="AB125" s="6">
        <f>$K$125*$V$125</f>
        <v>0</v>
      </c>
      <c r="AC125" s="6">
        <f>$M$125*$W$125</f>
        <v>512824.58220000006</v>
      </c>
      <c r="AD125" s="6">
        <f>$O$125*$X$125</f>
        <v>121446.33585</v>
      </c>
      <c r="AE125" s="6">
        <f>$K$125*$Y$125</f>
        <v>0</v>
      </c>
      <c r="AF125" s="6">
        <f ca="1">$M$125*$Z$125</f>
        <v>617117.47796623304</v>
      </c>
      <c r="AG125" s="6">
        <f>$O$125*$AA$125</f>
        <v>107225.38858021019</v>
      </c>
    </row>
    <row r="126" spans="1:33" ht="11.25" customHeight="1" x14ac:dyDescent="0.25">
      <c r="A126" s="4" t="s">
        <v>28</v>
      </c>
      <c r="B126" s="4" t="s">
        <v>22</v>
      </c>
      <c r="C126" s="4" t="s">
        <v>23</v>
      </c>
      <c r="D126" s="4" t="s">
        <v>24</v>
      </c>
      <c r="E126" s="4" t="s">
        <v>24</v>
      </c>
      <c r="F126" s="4" t="s">
        <v>25</v>
      </c>
      <c r="G126" s="4" t="s">
        <v>25</v>
      </c>
      <c r="H126" s="4" t="s">
        <v>25</v>
      </c>
      <c r="I126" s="5">
        <v>44713</v>
      </c>
      <c r="J126" s="6">
        <v>0</v>
      </c>
      <c r="K126" s="6">
        <v>0</v>
      </c>
      <c r="L126" s="6">
        <v>2.2930000000000001</v>
      </c>
      <c r="M126" s="6">
        <v>2.2930000000000001</v>
      </c>
      <c r="N126" s="6">
        <v>2.2930000000000001</v>
      </c>
      <c r="O126" s="6">
        <v>2.2930000000000001</v>
      </c>
      <c r="P126" s="6">
        <v>20</v>
      </c>
      <c r="Q126" s="4" t="s">
        <v>26</v>
      </c>
      <c r="R126" s="4">
        <v>0</v>
      </c>
      <c r="S126" s="6">
        <v>0</v>
      </c>
      <c r="T126" s="6">
        <v>24</v>
      </c>
      <c r="U126" s="6">
        <v>26</v>
      </c>
      <c r="V126" s="6">
        <f>IF(ISERROR(VLOOKUP($S$126,'TAR FIN'!$A$1:$O$86,15,0)),0,VLOOKUP($S$126,'TAR FIN'!$A$1:$O$86,15,0))</f>
        <v>0</v>
      </c>
      <c r="W126" s="6">
        <f>IF(ISERROR(VLOOKUP($T$126,'TAR FIN'!$A$1:$O$86,15,0)),0,VLOOKUP($T$126,'TAR FIN'!$A$1:$O$86,15,0))</f>
        <v>556.84</v>
      </c>
      <c r="X126" s="6">
        <f>IF(ISERROR(VLOOKUP($U$126,'TAR FIN'!$A$1:$O$86,15,0)),0,VLOOKUP($U$126,'TAR FIN'!$A$1:$O$86,15,0))</f>
        <v>131.87</v>
      </c>
      <c r="Y126" s="6"/>
      <c r="Z126" s="6">
        <f ca="1">('TUSD BE'!$AM$20+'TUSD BF'!$AM$20+'TUSD CVA'!$AM$20)*1</f>
        <v>670.0842907267272</v>
      </c>
      <c r="AA126" s="6">
        <f>('TE BE'!$AB$11+'TE BF'!$AB$11+'TE CVA'!$AB$11)*1</f>
        <v>116.42847759142431</v>
      </c>
      <c r="AB126" s="6">
        <f>$K$126*$V$126</f>
        <v>0</v>
      </c>
      <c r="AC126" s="6">
        <f>$M$126*$W$126</f>
        <v>1276.8341200000002</v>
      </c>
      <c r="AD126" s="6">
        <f>$O$126*$X$126</f>
        <v>302.37791000000004</v>
      </c>
      <c r="AE126" s="6">
        <f>$K$126*$Y$126</f>
        <v>0</v>
      </c>
      <c r="AF126" s="6">
        <f ca="1">$M$126*$Z$126</f>
        <v>1536.5032786363856</v>
      </c>
      <c r="AG126" s="6">
        <f>$O$126*$AA$126</f>
        <v>266.97049911713594</v>
      </c>
    </row>
    <row r="127" spans="1:33" ht="11.25" customHeight="1" x14ac:dyDescent="0.25">
      <c r="A127" s="4" t="s">
        <v>21</v>
      </c>
      <c r="B127" s="4" t="s">
        <v>22</v>
      </c>
      <c r="C127" s="4" t="s">
        <v>23</v>
      </c>
      <c r="D127" s="4" t="s">
        <v>24</v>
      </c>
      <c r="E127" s="4" t="s">
        <v>29</v>
      </c>
      <c r="F127" s="4" t="s">
        <v>25</v>
      </c>
      <c r="G127" s="4" t="s">
        <v>25</v>
      </c>
      <c r="H127" s="4" t="s">
        <v>25</v>
      </c>
      <c r="I127" s="5">
        <v>44378</v>
      </c>
      <c r="J127" s="6">
        <v>0</v>
      </c>
      <c r="K127" s="6">
        <v>0</v>
      </c>
      <c r="L127" s="6">
        <v>3.75</v>
      </c>
      <c r="M127" s="6">
        <v>3.75</v>
      </c>
      <c r="N127" s="6">
        <v>3.75</v>
      </c>
      <c r="O127" s="6">
        <v>3.75</v>
      </c>
      <c r="P127" s="6">
        <v>3</v>
      </c>
      <c r="Q127" s="4" t="s">
        <v>26</v>
      </c>
      <c r="R127" s="4">
        <v>0</v>
      </c>
      <c r="S127" s="6">
        <v>0</v>
      </c>
      <c r="T127" s="6">
        <v>2</v>
      </c>
      <c r="U127" s="6">
        <v>72</v>
      </c>
      <c r="V127" s="6">
        <f>IF(ISERROR(VLOOKUP($S$127,'TAR FIN'!$A$1:$O$86,15,0)),0,VLOOKUP($S$127,'TAR FIN'!$A$1:$O$86,15,0))</f>
        <v>0</v>
      </c>
      <c r="W127" s="6">
        <f>IF(ISERROR(VLOOKUP($T$127,'TAR FIN'!$A$1:$O$86,15,0)),0,VLOOKUP($T$127,'TAR FIN'!$A$1:$O$86,15,0))</f>
        <v>170.76</v>
      </c>
      <c r="X127" s="6">
        <f>IF(ISERROR(VLOOKUP($U$127,'TAR FIN'!$A$1:$O$86,15,0)),0,VLOOKUP($U$127,'TAR FIN'!$A$1:$O$86,15,0))</f>
        <v>46.15</v>
      </c>
      <c r="Y127" s="6"/>
      <c r="Z127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27" s="6">
        <f>('TE BE'!$AB$12+'TE BF'!$AB$12+'TE CVA'!$AB$12)*(1-CUSTOS!$M$34)</f>
        <v>40.749967156998508</v>
      </c>
      <c r="AB127" s="6">
        <f>$K$127*$V$127</f>
        <v>0</v>
      </c>
      <c r="AC127" s="6">
        <f>$M$127*$W$127</f>
        <v>640.34999999999991</v>
      </c>
      <c r="AD127" s="6">
        <f>$O$127*$X$127</f>
        <v>173.0625</v>
      </c>
      <c r="AE127" s="6">
        <f>$K$127*$Y$127</f>
        <v>0</v>
      </c>
      <c r="AF127" s="6">
        <f ca="1">$M$127*$Z$127</f>
        <v>739.48335709429</v>
      </c>
      <c r="AG127" s="6">
        <f>$O$127*$AA$127</f>
        <v>152.8123768387444</v>
      </c>
    </row>
    <row r="128" spans="1:33" ht="11.25" customHeight="1" x14ac:dyDescent="0.25">
      <c r="A128" s="4" t="s">
        <v>21</v>
      </c>
      <c r="B128" s="4" t="s">
        <v>22</v>
      </c>
      <c r="C128" s="4" t="s">
        <v>23</v>
      </c>
      <c r="D128" s="4" t="s">
        <v>24</v>
      </c>
      <c r="E128" s="4" t="s">
        <v>29</v>
      </c>
      <c r="F128" s="4" t="s">
        <v>25</v>
      </c>
      <c r="G128" s="4" t="s">
        <v>25</v>
      </c>
      <c r="H128" s="4" t="s">
        <v>25</v>
      </c>
      <c r="I128" s="5">
        <v>44409</v>
      </c>
      <c r="J128" s="6">
        <v>0</v>
      </c>
      <c r="K128" s="6">
        <v>0</v>
      </c>
      <c r="L128" s="6">
        <v>3.9</v>
      </c>
      <c r="M128" s="6">
        <v>3.9</v>
      </c>
      <c r="N128" s="6">
        <v>3.9</v>
      </c>
      <c r="O128" s="6">
        <v>3.9</v>
      </c>
      <c r="P128" s="6">
        <v>1</v>
      </c>
      <c r="Q128" s="4" t="s">
        <v>26</v>
      </c>
      <c r="R128" s="4">
        <v>0</v>
      </c>
      <c r="S128" s="6">
        <v>0</v>
      </c>
      <c r="T128" s="6">
        <v>2</v>
      </c>
      <c r="U128" s="6">
        <v>72</v>
      </c>
      <c r="V128" s="6">
        <f>IF(ISERROR(VLOOKUP($S$128,'TAR FIN'!$A$1:$O$86,15,0)),0,VLOOKUP($S$128,'TAR FIN'!$A$1:$O$86,15,0))</f>
        <v>0</v>
      </c>
      <c r="W128" s="6">
        <f>IF(ISERROR(VLOOKUP($T$128,'TAR FIN'!$A$1:$O$86,15,0)),0,VLOOKUP($T$128,'TAR FIN'!$A$1:$O$86,15,0))</f>
        <v>170.76</v>
      </c>
      <c r="X128" s="6">
        <f>IF(ISERROR(VLOOKUP($U$128,'TAR FIN'!$A$1:$O$86,15,0)),0,VLOOKUP($U$128,'TAR FIN'!$A$1:$O$86,15,0))</f>
        <v>46.15</v>
      </c>
      <c r="Y128" s="6"/>
      <c r="Z128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28" s="6">
        <f>('TE BE'!$AB$12+'TE BF'!$AB$12+'TE CVA'!$AB$12)*(1-CUSTOS!$M$34)</f>
        <v>40.749967156998508</v>
      </c>
      <c r="AB128" s="6">
        <f>$K$128*$V$128</f>
        <v>0</v>
      </c>
      <c r="AC128" s="6">
        <f>$M$128*$W$128</f>
        <v>665.96399999999994</v>
      </c>
      <c r="AD128" s="6">
        <f>$O$128*$X$128</f>
        <v>179.98499999999999</v>
      </c>
      <c r="AE128" s="6">
        <f>$K$128*$Y$128</f>
        <v>0</v>
      </c>
      <c r="AF128" s="6">
        <f ca="1">$M$128*$Z$128</f>
        <v>769.06269137806157</v>
      </c>
      <c r="AG128" s="6">
        <f>$O$128*$AA$128</f>
        <v>158.92487191229418</v>
      </c>
    </row>
    <row r="129" spans="1:33" ht="11.25" customHeight="1" x14ac:dyDescent="0.25">
      <c r="A129" s="4" t="s">
        <v>21</v>
      </c>
      <c r="B129" s="4" t="s">
        <v>22</v>
      </c>
      <c r="C129" s="4" t="s">
        <v>23</v>
      </c>
      <c r="D129" s="4" t="s">
        <v>24</v>
      </c>
      <c r="E129" s="4" t="s">
        <v>29</v>
      </c>
      <c r="F129" s="4" t="s">
        <v>25</v>
      </c>
      <c r="G129" s="4" t="s">
        <v>25</v>
      </c>
      <c r="H129" s="4" t="s">
        <v>25</v>
      </c>
      <c r="I129" s="5">
        <v>44440</v>
      </c>
      <c r="J129" s="6">
        <v>0</v>
      </c>
      <c r="K129" s="6">
        <v>0</v>
      </c>
      <c r="L129" s="6">
        <v>3.78</v>
      </c>
      <c r="M129" s="6">
        <v>3.78</v>
      </c>
      <c r="N129" s="6">
        <v>3.78</v>
      </c>
      <c r="O129" s="6">
        <v>3.78</v>
      </c>
      <c r="P129" s="6">
        <v>0</v>
      </c>
      <c r="Q129" s="4" t="s">
        <v>26</v>
      </c>
      <c r="R129" s="4">
        <v>0</v>
      </c>
      <c r="S129" s="6">
        <v>0</v>
      </c>
      <c r="T129" s="6">
        <v>2</v>
      </c>
      <c r="U129" s="6">
        <v>72</v>
      </c>
      <c r="V129" s="6">
        <f>IF(ISERROR(VLOOKUP($S$129,'TAR FIN'!$A$1:$O$86,15,0)),0,VLOOKUP($S$129,'TAR FIN'!$A$1:$O$86,15,0))</f>
        <v>0</v>
      </c>
      <c r="W129" s="6">
        <f>IF(ISERROR(VLOOKUP($T$129,'TAR FIN'!$A$1:$O$86,15,0)),0,VLOOKUP($T$129,'TAR FIN'!$A$1:$O$86,15,0))</f>
        <v>170.76</v>
      </c>
      <c r="X129" s="6">
        <f>IF(ISERROR(VLOOKUP($U$129,'TAR FIN'!$A$1:$O$86,15,0)),0,VLOOKUP($U$129,'TAR FIN'!$A$1:$O$86,15,0))</f>
        <v>46.15</v>
      </c>
      <c r="Y129" s="6"/>
      <c r="Z129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29" s="6">
        <f>('TE BE'!$AB$12+'TE BF'!$AB$12+'TE CVA'!$AB$12)*(1-CUSTOS!$M$34)</f>
        <v>40.749967156998508</v>
      </c>
      <c r="AB129" s="6">
        <f>$K$129*$V$129</f>
        <v>0</v>
      </c>
      <c r="AC129" s="6">
        <f>$M$129*$W$129</f>
        <v>645.47279999999989</v>
      </c>
      <c r="AD129" s="6">
        <f>$O$129*$X$129</f>
        <v>174.44699999999997</v>
      </c>
      <c r="AE129" s="6">
        <f>$K$129*$Y$129</f>
        <v>0</v>
      </c>
      <c r="AF129" s="6">
        <f ca="1">$M$129*$Z$129</f>
        <v>745.39922395104429</v>
      </c>
      <c r="AG129" s="6">
        <f>$O$129*$AA$129</f>
        <v>154.03487585345437</v>
      </c>
    </row>
    <row r="130" spans="1:33" ht="11.25" customHeight="1" x14ac:dyDescent="0.25">
      <c r="A130" s="4" t="s">
        <v>21</v>
      </c>
      <c r="B130" s="4" t="s">
        <v>22</v>
      </c>
      <c r="C130" s="4" t="s">
        <v>23</v>
      </c>
      <c r="D130" s="4" t="s">
        <v>24</v>
      </c>
      <c r="E130" s="4" t="s">
        <v>29</v>
      </c>
      <c r="F130" s="4" t="s">
        <v>25</v>
      </c>
      <c r="G130" s="4" t="s">
        <v>25</v>
      </c>
      <c r="H130" s="4" t="s">
        <v>25</v>
      </c>
      <c r="I130" s="5">
        <v>44470</v>
      </c>
      <c r="J130" s="6">
        <v>0</v>
      </c>
      <c r="K130" s="6">
        <v>0</v>
      </c>
      <c r="L130" s="6">
        <v>4.0199999999999996</v>
      </c>
      <c r="M130" s="6">
        <v>4.0199999999999996</v>
      </c>
      <c r="N130" s="6">
        <v>4.0199999999999996</v>
      </c>
      <c r="O130" s="6">
        <v>4.0199999999999996</v>
      </c>
      <c r="P130" s="6">
        <v>3</v>
      </c>
      <c r="Q130" s="4" t="s">
        <v>26</v>
      </c>
      <c r="R130" s="4">
        <v>0</v>
      </c>
      <c r="S130" s="6">
        <v>0</v>
      </c>
      <c r="T130" s="6">
        <v>2</v>
      </c>
      <c r="U130" s="6">
        <v>72</v>
      </c>
      <c r="V130" s="6">
        <f>IF(ISERROR(VLOOKUP($S$130,'TAR FIN'!$A$1:$O$86,15,0)),0,VLOOKUP($S$130,'TAR FIN'!$A$1:$O$86,15,0))</f>
        <v>0</v>
      </c>
      <c r="W130" s="6">
        <f>IF(ISERROR(VLOOKUP($T$130,'TAR FIN'!$A$1:$O$86,15,0)),0,VLOOKUP($T$130,'TAR FIN'!$A$1:$O$86,15,0))</f>
        <v>170.76</v>
      </c>
      <c r="X130" s="6">
        <f>IF(ISERROR(VLOOKUP($U$130,'TAR FIN'!$A$1:$O$86,15,0)),0,VLOOKUP($U$130,'TAR FIN'!$A$1:$O$86,15,0))</f>
        <v>46.15</v>
      </c>
      <c r="Y130" s="6"/>
      <c r="Z130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0" s="6">
        <f>('TE BE'!$AB$12+'TE BF'!$AB$12+'TE CVA'!$AB$12)*(1-CUSTOS!$M$34)</f>
        <v>40.749967156998508</v>
      </c>
      <c r="AB130" s="6">
        <f>$K$130*$V$130</f>
        <v>0</v>
      </c>
      <c r="AC130" s="6">
        <f>$M$130*$W$130</f>
        <v>686.45519999999988</v>
      </c>
      <c r="AD130" s="6">
        <f>$O$130*$X$130</f>
        <v>185.52299999999997</v>
      </c>
      <c r="AE130" s="6">
        <f>$K$130*$Y$130</f>
        <v>0</v>
      </c>
      <c r="AF130" s="6">
        <f ca="1">$M$130*$Z$130</f>
        <v>792.72615880507874</v>
      </c>
      <c r="AG130" s="6">
        <f>$O$130*$AA$130</f>
        <v>163.81486797113399</v>
      </c>
    </row>
    <row r="131" spans="1:33" ht="11.25" customHeight="1" x14ac:dyDescent="0.25">
      <c r="A131" s="4" t="s">
        <v>21</v>
      </c>
      <c r="B131" s="4" t="s">
        <v>22</v>
      </c>
      <c r="C131" s="4" t="s">
        <v>23</v>
      </c>
      <c r="D131" s="4" t="s">
        <v>24</v>
      </c>
      <c r="E131" s="4" t="s">
        <v>29</v>
      </c>
      <c r="F131" s="4" t="s">
        <v>25</v>
      </c>
      <c r="G131" s="4" t="s">
        <v>25</v>
      </c>
      <c r="H131" s="4" t="s">
        <v>25</v>
      </c>
      <c r="I131" s="5">
        <v>44501</v>
      </c>
      <c r="J131" s="6">
        <v>0</v>
      </c>
      <c r="K131" s="6">
        <v>0</v>
      </c>
      <c r="L131" s="6">
        <v>4.41</v>
      </c>
      <c r="M131" s="6">
        <v>4.41</v>
      </c>
      <c r="N131" s="6">
        <v>4.41</v>
      </c>
      <c r="O131" s="6">
        <v>4.41</v>
      </c>
      <c r="P131" s="6">
        <v>2</v>
      </c>
      <c r="Q131" s="4" t="s">
        <v>26</v>
      </c>
      <c r="R131" s="4">
        <v>0</v>
      </c>
      <c r="S131" s="6">
        <v>0</v>
      </c>
      <c r="T131" s="6">
        <v>2</v>
      </c>
      <c r="U131" s="6">
        <v>72</v>
      </c>
      <c r="V131" s="6">
        <f>IF(ISERROR(VLOOKUP($S$131,'TAR FIN'!$A$1:$O$86,15,0)),0,VLOOKUP($S$131,'TAR FIN'!$A$1:$O$86,15,0))</f>
        <v>0</v>
      </c>
      <c r="W131" s="6">
        <f>IF(ISERROR(VLOOKUP($T$131,'TAR FIN'!$A$1:$O$86,15,0)),0,VLOOKUP($T$131,'TAR FIN'!$A$1:$O$86,15,0))</f>
        <v>170.76</v>
      </c>
      <c r="X131" s="6">
        <f>IF(ISERROR(VLOOKUP($U$131,'TAR FIN'!$A$1:$O$86,15,0)),0,VLOOKUP($U$131,'TAR FIN'!$A$1:$O$86,15,0))</f>
        <v>46.15</v>
      </c>
      <c r="Y131" s="6"/>
      <c r="Z131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1" s="6">
        <f>('TE BE'!$AB$12+'TE BF'!$AB$12+'TE CVA'!$AB$12)*(1-CUSTOS!$M$34)</f>
        <v>40.749967156998508</v>
      </c>
      <c r="AB131" s="6">
        <f>$K$131*$V$131</f>
        <v>0</v>
      </c>
      <c r="AC131" s="6">
        <f>$M$131*$W$131</f>
        <v>753.05160000000001</v>
      </c>
      <c r="AD131" s="6">
        <f>$O$131*$X$131</f>
        <v>203.5215</v>
      </c>
      <c r="AE131" s="6">
        <f>$K$131*$Y$131</f>
        <v>0</v>
      </c>
      <c r="AF131" s="6">
        <f ca="1">$M$131*$Z$131</f>
        <v>869.63242794288499</v>
      </c>
      <c r="AG131" s="6">
        <f>$O$131*$AA$131</f>
        <v>179.70735516236343</v>
      </c>
    </row>
    <row r="132" spans="1:33" ht="11.25" customHeight="1" x14ac:dyDescent="0.25">
      <c r="A132" s="4" t="s">
        <v>21</v>
      </c>
      <c r="B132" s="4" t="s">
        <v>22</v>
      </c>
      <c r="C132" s="4" t="s">
        <v>23</v>
      </c>
      <c r="D132" s="4" t="s">
        <v>24</v>
      </c>
      <c r="E132" s="4" t="s">
        <v>29</v>
      </c>
      <c r="F132" s="4" t="s">
        <v>25</v>
      </c>
      <c r="G132" s="4" t="s">
        <v>25</v>
      </c>
      <c r="H132" s="4" t="s">
        <v>25</v>
      </c>
      <c r="I132" s="5">
        <v>44531</v>
      </c>
      <c r="J132" s="6">
        <v>0</v>
      </c>
      <c r="K132" s="6">
        <v>0</v>
      </c>
      <c r="L132" s="6">
        <v>4.53</v>
      </c>
      <c r="M132" s="6">
        <v>4.53</v>
      </c>
      <c r="N132" s="6">
        <v>4.53</v>
      </c>
      <c r="O132" s="6">
        <v>4.53</v>
      </c>
      <c r="P132" s="6">
        <v>2</v>
      </c>
      <c r="Q132" s="4" t="s">
        <v>26</v>
      </c>
      <c r="R132" s="4">
        <v>0</v>
      </c>
      <c r="S132" s="6">
        <v>0</v>
      </c>
      <c r="T132" s="6">
        <v>2</v>
      </c>
      <c r="U132" s="6">
        <v>72</v>
      </c>
      <c r="V132" s="6">
        <f>IF(ISERROR(VLOOKUP($S$132,'TAR FIN'!$A$1:$O$86,15,0)),0,VLOOKUP($S$132,'TAR FIN'!$A$1:$O$86,15,0))</f>
        <v>0</v>
      </c>
      <c r="W132" s="6">
        <f>IF(ISERROR(VLOOKUP($T$132,'TAR FIN'!$A$1:$O$86,15,0)),0,VLOOKUP($T$132,'TAR FIN'!$A$1:$O$86,15,0))</f>
        <v>170.76</v>
      </c>
      <c r="X132" s="6">
        <f>IF(ISERROR(VLOOKUP($U$132,'TAR FIN'!$A$1:$O$86,15,0)),0,VLOOKUP($U$132,'TAR FIN'!$A$1:$O$86,15,0))</f>
        <v>46.15</v>
      </c>
      <c r="Y132" s="6"/>
      <c r="Z132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2" s="6">
        <f>('TE BE'!$AB$12+'TE BF'!$AB$12+'TE CVA'!$AB$12)*(1-CUSTOS!$M$34)</f>
        <v>40.749967156998508</v>
      </c>
      <c r="AB132" s="6">
        <f>$K$132*$V$132</f>
        <v>0</v>
      </c>
      <c r="AC132" s="6">
        <f>$M$132*$W$132</f>
        <v>773.54280000000006</v>
      </c>
      <c r="AD132" s="6">
        <f>$O$132*$X$132</f>
        <v>209.05950000000001</v>
      </c>
      <c r="AE132" s="6">
        <f>$K$132*$Y$132</f>
        <v>0</v>
      </c>
      <c r="AF132" s="6">
        <f ca="1">$M$132*$Z$132</f>
        <v>893.29589536990227</v>
      </c>
      <c r="AG132" s="6">
        <f>$O$132*$AA$132</f>
        <v>184.59735122120324</v>
      </c>
    </row>
    <row r="133" spans="1:33" ht="11.25" customHeight="1" x14ac:dyDescent="0.25">
      <c r="A133" s="4" t="s">
        <v>21</v>
      </c>
      <c r="B133" s="4" t="s">
        <v>22</v>
      </c>
      <c r="C133" s="4" t="s">
        <v>23</v>
      </c>
      <c r="D133" s="4" t="s">
        <v>24</v>
      </c>
      <c r="E133" s="4" t="s">
        <v>29</v>
      </c>
      <c r="F133" s="4" t="s">
        <v>25</v>
      </c>
      <c r="G133" s="4" t="s">
        <v>25</v>
      </c>
      <c r="H133" s="4" t="s">
        <v>25</v>
      </c>
      <c r="I133" s="5">
        <v>44562</v>
      </c>
      <c r="J133" s="6">
        <v>0</v>
      </c>
      <c r="K133" s="6">
        <v>0</v>
      </c>
      <c r="L133" s="6">
        <v>4.68</v>
      </c>
      <c r="M133" s="6">
        <v>4.68</v>
      </c>
      <c r="N133" s="6">
        <v>4.68</v>
      </c>
      <c r="O133" s="6">
        <v>4.68</v>
      </c>
      <c r="P133" s="6">
        <v>0</v>
      </c>
      <c r="Q133" s="4" t="s">
        <v>26</v>
      </c>
      <c r="R133" s="4">
        <v>0</v>
      </c>
      <c r="S133" s="6">
        <v>0</v>
      </c>
      <c r="T133" s="6">
        <v>2</v>
      </c>
      <c r="U133" s="6">
        <v>72</v>
      </c>
      <c r="V133" s="6">
        <f>IF(ISERROR(VLOOKUP($S$133,'TAR FIN'!$A$1:$O$86,15,0)),0,VLOOKUP($S$133,'TAR FIN'!$A$1:$O$86,15,0))</f>
        <v>0</v>
      </c>
      <c r="W133" s="6">
        <f>IF(ISERROR(VLOOKUP($T$133,'TAR FIN'!$A$1:$O$86,15,0)),0,VLOOKUP($T$133,'TAR FIN'!$A$1:$O$86,15,0))</f>
        <v>170.76</v>
      </c>
      <c r="X133" s="6">
        <f>IF(ISERROR(VLOOKUP($U$133,'TAR FIN'!$A$1:$O$86,15,0)),0,VLOOKUP($U$133,'TAR FIN'!$A$1:$O$86,15,0))</f>
        <v>46.15</v>
      </c>
      <c r="Y133" s="6"/>
      <c r="Z133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3" s="6">
        <f>('TE BE'!$AB$12+'TE BF'!$AB$12+'TE CVA'!$AB$12)*(1-CUSTOS!$M$34)</f>
        <v>40.749967156998508</v>
      </c>
      <c r="AB133" s="6">
        <f>$K$133*$V$133</f>
        <v>0</v>
      </c>
      <c r="AC133" s="6">
        <f>$M$133*$W$133</f>
        <v>799.15679999999986</v>
      </c>
      <c r="AD133" s="6">
        <f>$O$133*$X$133</f>
        <v>215.98199999999997</v>
      </c>
      <c r="AE133" s="6">
        <f>$K$133*$Y$133</f>
        <v>0</v>
      </c>
      <c r="AF133" s="6">
        <f ca="1">$M$133*$Z$133</f>
        <v>922.87522965367384</v>
      </c>
      <c r="AG133" s="6">
        <f>$O$133*$AA$133</f>
        <v>190.70984629475302</v>
      </c>
    </row>
    <row r="134" spans="1:33" ht="11.25" customHeight="1" x14ac:dyDescent="0.25">
      <c r="A134" s="4" t="s">
        <v>21</v>
      </c>
      <c r="B134" s="4" t="s">
        <v>22</v>
      </c>
      <c r="C134" s="4" t="s">
        <v>23</v>
      </c>
      <c r="D134" s="4" t="s">
        <v>24</v>
      </c>
      <c r="E134" s="4" t="s">
        <v>29</v>
      </c>
      <c r="F134" s="4" t="s">
        <v>25</v>
      </c>
      <c r="G134" s="4" t="s">
        <v>25</v>
      </c>
      <c r="H134" s="4" t="s">
        <v>25</v>
      </c>
      <c r="I134" s="5">
        <v>44593</v>
      </c>
      <c r="J134" s="6">
        <v>0</v>
      </c>
      <c r="K134" s="6">
        <v>0</v>
      </c>
      <c r="L134" s="6">
        <v>6.87</v>
      </c>
      <c r="M134" s="6">
        <v>6.87</v>
      </c>
      <c r="N134" s="6">
        <v>6.87</v>
      </c>
      <c r="O134" s="6">
        <v>6.87</v>
      </c>
      <c r="P134" s="6">
        <v>9</v>
      </c>
      <c r="Q134" s="4" t="s">
        <v>26</v>
      </c>
      <c r="R134" s="4">
        <v>0</v>
      </c>
      <c r="S134" s="6">
        <v>0</v>
      </c>
      <c r="T134" s="6">
        <v>2</v>
      </c>
      <c r="U134" s="6">
        <v>72</v>
      </c>
      <c r="V134" s="6">
        <f>IF(ISERROR(VLOOKUP($S$134,'TAR FIN'!$A$1:$O$86,15,0)),0,VLOOKUP($S$134,'TAR FIN'!$A$1:$O$86,15,0))</f>
        <v>0</v>
      </c>
      <c r="W134" s="6">
        <f>IF(ISERROR(VLOOKUP($T$134,'TAR FIN'!$A$1:$O$86,15,0)),0,VLOOKUP($T$134,'TAR FIN'!$A$1:$O$86,15,0))</f>
        <v>170.76</v>
      </c>
      <c r="X134" s="6">
        <f>IF(ISERROR(VLOOKUP($U$134,'TAR FIN'!$A$1:$O$86,15,0)),0,VLOOKUP($U$134,'TAR FIN'!$A$1:$O$86,15,0))</f>
        <v>46.15</v>
      </c>
      <c r="Y134" s="6"/>
      <c r="Z134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4" s="6">
        <f>('TE BE'!$AB$12+'TE BF'!$AB$12+'TE CVA'!$AB$12)*(1-CUSTOS!$M$34)</f>
        <v>40.749967156998508</v>
      </c>
      <c r="AB134" s="6">
        <f>$K$134*$V$134</f>
        <v>0</v>
      </c>
      <c r="AC134" s="6">
        <f>$M$134*$W$134</f>
        <v>1173.1212</v>
      </c>
      <c r="AD134" s="6">
        <f>$O$134*$X$134</f>
        <v>317.0505</v>
      </c>
      <c r="AE134" s="6">
        <f>$K$134*$Y$134</f>
        <v>0</v>
      </c>
      <c r="AF134" s="6">
        <f ca="1">$M$134*$Z$134</f>
        <v>1354.7335101967392</v>
      </c>
      <c r="AG134" s="6">
        <f>$O$134*$AA$134</f>
        <v>279.95227436857976</v>
      </c>
    </row>
    <row r="135" spans="1:33" ht="11.25" customHeight="1" x14ac:dyDescent="0.25">
      <c r="A135" s="4" t="s">
        <v>21</v>
      </c>
      <c r="B135" s="4" t="s">
        <v>22</v>
      </c>
      <c r="C135" s="4" t="s">
        <v>23</v>
      </c>
      <c r="D135" s="4" t="s">
        <v>24</v>
      </c>
      <c r="E135" s="4" t="s">
        <v>29</v>
      </c>
      <c r="F135" s="4" t="s">
        <v>25</v>
      </c>
      <c r="G135" s="4" t="s">
        <v>25</v>
      </c>
      <c r="H135" s="4" t="s">
        <v>25</v>
      </c>
      <c r="I135" s="5">
        <v>44621</v>
      </c>
      <c r="J135" s="6">
        <v>0</v>
      </c>
      <c r="K135" s="6">
        <v>0</v>
      </c>
      <c r="L135" s="6">
        <v>13.53</v>
      </c>
      <c r="M135" s="6">
        <v>13.53</v>
      </c>
      <c r="N135" s="6">
        <v>13.53</v>
      </c>
      <c r="O135" s="6">
        <v>13.53</v>
      </c>
      <c r="P135" s="6">
        <v>34</v>
      </c>
      <c r="Q135" s="4" t="s">
        <v>26</v>
      </c>
      <c r="R135" s="4">
        <v>0</v>
      </c>
      <c r="S135" s="6">
        <v>0</v>
      </c>
      <c r="T135" s="6">
        <v>2</v>
      </c>
      <c r="U135" s="6">
        <v>72</v>
      </c>
      <c r="V135" s="6">
        <f>IF(ISERROR(VLOOKUP($S$135,'TAR FIN'!$A$1:$O$86,15,0)),0,VLOOKUP($S$135,'TAR FIN'!$A$1:$O$86,15,0))</f>
        <v>0</v>
      </c>
      <c r="W135" s="6">
        <f>IF(ISERROR(VLOOKUP($T$135,'TAR FIN'!$A$1:$O$86,15,0)),0,VLOOKUP($T$135,'TAR FIN'!$A$1:$O$86,15,0))</f>
        <v>170.76</v>
      </c>
      <c r="X135" s="6">
        <f>IF(ISERROR(VLOOKUP($U$135,'TAR FIN'!$A$1:$O$86,15,0)),0,VLOOKUP($U$135,'TAR FIN'!$A$1:$O$86,15,0))</f>
        <v>46.15</v>
      </c>
      <c r="Y135" s="6"/>
      <c r="Z135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5" s="6">
        <f>('TE BE'!$AB$12+'TE BF'!$AB$12+'TE CVA'!$AB$12)*(1-CUSTOS!$M$34)</f>
        <v>40.749967156998508</v>
      </c>
      <c r="AB135" s="6">
        <f>$K$135*$V$135</f>
        <v>0</v>
      </c>
      <c r="AC135" s="6">
        <f>$M$135*$W$135</f>
        <v>2310.3827999999999</v>
      </c>
      <c r="AD135" s="6">
        <f>$O$135*$X$135</f>
        <v>624.40949999999998</v>
      </c>
      <c r="AE135" s="6">
        <f>$K$135*$Y$135</f>
        <v>0</v>
      </c>
      <c r="AF135" s="6">
        <f ca="1">$M$135*$Z$135</f>
        <v>2668.0559523961979</v>
      </c>
      <c r="AG135" s="6">
        <f>$O$135*$AA$135</f>
        <v>551.34705563418981</v>
      </c>
    </row>
    <row r="136" spans="1:33" ht="11.25" customHeight="1" x14ac:dyDescent="0.25">
      <c r="A136" s="4" t="s">
        <v>21</v>
      </c>
      <c r="B136" s="4" t="s">
        <v>22</v>
      </c>
      <c r="C136" s="4" t="s">
        <v>23</v>
      </c>
      <c r="D136" s="4" t="s">
        <v>24</v>
      </c>
      <c r="E136" s="4" t="s">
        <v>29</v>
      </c>
      <c r="F136" s="4" t="s">
        <v>25</v>
      </c>
      <c r="G136" s="4" t="s">
        <v>25</v>
      </c>
      <c r="H136" s="4" t="s">
        <v>25</v>
      </c>
      <c r="I136" s="5">
        <v>44652</v>
      </c>
      <c r="J136" s="6">
        <v>0</v>
      </c>
      <c r="K136" s="6">
        <v>0</v>
      </c>
      <c r="L136" s="6">
        <v>19.29</v>
      </c>
      <c r="M136" s="6">
        <v>19.29</v>
      </c>
      <c r="N136" s="6">
        <v>19.29</v>
      </c>
      <c r="O136" s="6">
        <v>19.29</v>
      </c>
      <c r="P136" s="6">
        <v>56</v>
      </c>
      <c r="Q136" s="4" t="s">
        <v>26</v>
      </c>
      <c r="R136" s="4">
        <v>0</v>
      </c>
      <c r="S136" s="6">
        <v>0</v>
      </c>
      <c r="T136" s="6">
        <v>2</v>
      </c>
      <c r="U136" s="6">
        <v>72</v>
      </c>
      <c r="V136" s="6">
        <f>IF(ISERROR(VLOOKUP($S$136,'TAR FIN'!$A$1:$O$86,15,0)),0,VLOOKUP($S$136,'TAR FIN'!$A$1:$O$86,15,0))</f>
        <v>0</v>
      </c>
      <c r="W136" s="6">
        <f>IF(ISERROR(VLOOKUP($T$136,'TAR FIN'!$A$1:$O$86,15,0)),0,VLOOKUP($T$136,'TAR FIN'!$A$1:$O$86,15,0))</f>
        <v>170.76</v>
      </c>
      <c r="X136" s="6">
        <f>IF(ISERROR(VLOOKUP($U$136,'TAR FIN'!$A$1:$O$86,15,0)),0,VLOOKUP($U$136,'TAR FIN'!$A$1:$O$86,15,0))</f>
        <v>46.15</v>
      </c>
      <c r="Y136" s="6"/>
      <c r="Z136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6" s="6">
        <f>('TE BE'!$AB$12+'TE BF'!$AB$12+'TE CVA'!$AB$12)*(1-CUSTOS!$M$34)</f>
        <v>40.749967156998508</v>
      </c>
      <c r="AB136" s="6">
        <f>$K$136*$V$136</f>
        <v>0</v>
      </c>
      <c r="AC136" s="6">
        <f>$M$136*$W$136</f>
        <v>3293.9603999999995</v>
      </c>
      <c r="AD136" s="6">
        <f>$O$136*$X$136</f>
        <v>890.23349999999994</v>
      </c>
      <c r="AE136" s="6">
        <f>$K$136*$Y$136</f>
        <v>0</v>
      </c>
      <c r="AF136" s="6">
        <f ca="1">$M$136*$Z$136</f>
        <v>3803.9023888930274</v>
      </c>
      <c r="AG136" s="6">
        <f>$O$136*$AA$136</f>
        <v>786.06686645850118</v>
      </c>
    </row>
    <row r="137" spans="1:33" ht="11.25" customHeight="1" x14ac:dyDescent="0.25">
      <c r="A137" s="4" t="s">
        <v>21</v>
      </c>
      <c r="B137" s="4" t="s">
        <v>22</v>
      </c>
      <c r="C137" s="4" t="s">
        <v>23</v>
      </c>
      <c r="D137" s="4" t="s">
        <v>24</v>
      </c>
      <c r="E137" s="4" t="s">
        <v>29</v>
      </c>
      <c r="F137" s="4" t="s">
        <v>25</v>
      </c>
      <c r="G137" s="4" t="s">
        <v>25</v>
      </c>
      <c r="H137" s="4" t="s">
        <v>25</v>
      </c>
      <c r="I137" s="5">
        <v>44682</v>
      </c>
      <c r="J137" s="6">
        <v>0</v>
      </c>
      <c r="K137" s="6">
        <v>0</v>
      </c>
      <c r="L137" s="6">
        <v>20.91</v>
      </c>
      <c r="M137" s="6">
        <v>20.91</v>
      </c>
      <c r="N137" s="6">
        <v>20.91</v>
      </c>
      <c r="O137" s="6">
        <v>20.91</v>
      </c>
      <c r="P137" s="6">
        <v>69</v>
      </c>
      <c r="Q137" s="4" t="s">
        <v>26</v>
      </c>
      <c r="R137" s="4">
        <v>0</v>
      </c>
      <c r="S137" s="6">
        <v>0</v>
      </c>
      <c r="T137" s="6">
        <v>2</v>
      </c>
      <c r="U137" s="6">
        <v>72</v>
      </c>
      <c r="V137" s="6">
        <f>IF(ISERROR(VLOOKUP($S$137,'TAR FIN'!$A$1:$O$86,15,0)),0,VLOOKUP($S$137,'TAR FIN'!$A$1:$O$86,15,0))</f>
        <v>0</v>
      </c>
      <c r="W137" s="6">
        <f>IF(ISERROR(VLOOKUP($T$137,'TAR FIN'!$A$1:$O$86,15,0)),0,VLOOKUP($T$137,'TAR FIN'!$A$1:$O$86,15,0))</f>
        <v>170.76</v>
      </c>
      <c r="X137" s="6">
        <f>IF(ISERROR(VLOOKUP($U$137,'TAR FIN'!$A$1:$O$86,15,0)),0,VLOOKUP($U$137,'TAR FIN'!$A$1:$O$86,15,0))</f>
        <v>46.15</v>
      </c>
      <c r="Y137" s="6"/>
      <c r="Z137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7" s="6">
        <f>('TE BE'!$AB$12+'TE BF'!$AB$12+'TE CVA'!$AB$12)*(1-CUSTOS!$M$34)</f>
        <v>40.749967156998508</v>
      </c>
      <c r="AB137" s="6">
        <f>$K$137*$V$137</f>
        <v>0</v>
      </c>
      <c r="AC137" s="6">
        <f>$M$137*$W$137</f>
        <v>3570.5915999999997</v>
      </c>
      <c r="AD137" s="6">
        <f>$O$137*$X$137</f>
        <v>964.99649999999997</v>
      </c>
      <c r="AE137" s="6">
        <f>$K$137*$Y$137</f>
        <v>0</v>
      </c>
      <c r="AF137" s="6">
        <f ca="1">$M$137*$Z$137</f>
        <v>4123.3591991577605</v>
      </c>
      <c r="AG137" s="6">
        <f>$O$137*$AA$137</f>
        <v>852.08181325283886</v>
      </c>
    </row>
    <row r="138" spans="1:33" ht="11.25" customHeight="1" x14ac:dyDescent="0.25">
      <c r="A138" s="4" t="s">
        <v>21</v>
      </c>
      <c r="B138" s="4" t="s">
        <v>22</v>
      </c>
      <c r="C138" s="4" t="s">
        <v>23</v>
      </c>
      <c r="D138" s="4" t="s">
        <v>24</v>
      </c>
      <c r="E138" s="4" t="s">
        <v>29</v>
      </c>
      <c r="F138" s="4" t="s">
        <v>25</v>
      </c>
      <c r="G138" s="4" t="s">
        <v>25</v>
      </c>
      <c r="H138" s="4" t="s">
        <v>25</v>
      </c>
      <c r="I138" s="5">
        <v>44713</v>
      </c>
      <c r="J138" s="6">
        <v>0</v>
      </c>
      <c r="K138" s="6">
        <v>0</v>
      </c>
      <c r="L138" s="6">
        <v>21.87</v>
      </c>
      <c r="M138" s="6">
        <v>21.87</v>
      </c>
      <c r="N138" s="6">
        <v>21.87</v>
      </c>
      <c r="O138" s="6">
        <v>21.87</v>
      </c>
      <c r="P138" s="6">
        <v>71</v>
      </c>
      <c r="Q138" s="4" t="s">
        <v>26</v>
      </c>
      <c r="R138" s="4">
        <v>0</v>
      </c>
      <c r="S138" s="6">
        <v>0</v>
      </c>
      <c r="T138" s="6">
        <v>2</v>
      </c>
      <c r="U138" s="6">
        <v>72</v>
      </c>
      <c r="V138" s="6">
        <f>IF(ISERROR(VLOOKUP($S$138,'TAR FIN'!$A$1:$O$86,15,0)),0,VLOOKUP($S$138,'TAR FIN'!$A$1:$O$86,15,0))</f>
        <v>0</v>
      </c>
      <c r="W138" s="6">
        <f>IF(ISERROR(VLOOKUP($T$138,'TAR FIN'!$A$1:$O$86,15,0)),0,VLOOKUP($T$138,'TAR FIN'!$A$1:$O$86,15,0))</f>
        <v>170.76</v>
      </c>
      <c r="X138" s="6">
        <f>IF(ISERROR(VLOOKUP($U$138,'TAR FIN'!$A$1:$O$86,15,0)),0,VLOOKUP($U$138,'TAR FIN'!$A$1:$O$86,15,0))</f>
        <v>46.15</v>
      </c>
      <c r="Y138" s="6"/>
      <c r="Z138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8" s="6">
        <f>('TE BE'!$AB$12+'TE BF'!$AB$12+'TE CVA'!$AB$12)*(1-CUSTOS!$M$34)</f>
        <v>40.749967156998508</v>
      </c>
      <c r="AB138" s="6">
        <f>$K$138*$V$138</f>
        <v>0</v>
      </c>
      <c r="AC138" s="6">
        <f>$M$138*$W$138</f>
        <v>3734.5212000000001</v>
      </c>
      <c r="AD138" s="6">
        <f>$O$138*$X$138</f>
        <v>1009.3005000000001</v>
      </c>
      <c r="AE138" s="6">
        <f>$K$138*$Y$138</f>
        <v>0</v>
      </c>
      <c r="AF138" s="6">
        <f ca="1">$M$138*$Z$138</f>
        <v>4312.6669385738996</v>
      </c>
      <c r="AG138" s="6">
        <f>$O$138*$AA$138</f>
        <v>891.20178172355736</v>
      </c>
    </row>
    <row r="139" spans="1:33" ht="11.25" customHeight="1" x14ac:dyDescent="0.25">
      <c r="A139" s="4" t="s">
        <v>21</v>
      </c>
      <c r="B139" s="4" t="s">
        <v>22</v>
      </c>
      <c r="C139" s="4" t="s">
        <v>23</v>
      </c>
      <c r="D139" s="4" t="s">
        <v>24</v>
      </c>
      <c r="E139" s="4" t="s">
        <v>30</v>
      </c>
      <c r="F139" s="4" t="s">
        <v>25</v>
      </c>
      <c r="G139" s="4" t="s">
        <v>25</v>
      </c>
      <c r="H139" s="4" t="s">
        <v>25</v>
      </c>
      <c r="I139" s="5">
        <v>44378</v>
      </c>
      <c r="J139" s="6">
        <v>0</v>
      </c>
      <c r="K139" s="6">
        <v>0</v>
      </c>
      <c r="L139" s="6">
        <v>8.2100000000000009</v>
      </c>
      <c r="M139" s="6">
        <v>8.2100000000000009</v>
      </c>
      <c r="N139" s="6">
        <v>8.2100000000000009</v>
      </c>
      <c r="O139" s="6">
        <v>8.2100000000000009</v>
      </c>
      <c r="P139" s="6">
        <v>13</v>
      </c>
      <c r="Q139" s="4" t="s">
        <v>26</v>
      </c>
      <c r="R139" s="4">
        <v>0</v>
      </c>
      <c r="S139" s="6">
        <v>0</v>
      </c>
      <c r="T139" s="6">
        <v>13</v>
      </c>
      <c r="U139" s="6">
        <v>69</v>
      </c>
      <c r="V139" s="6">
        <f>IF(ISERROR(VLOOKUP($S$139,'TAR FIN'!$A$1:$O$86,15,0)),0,VLOOKUP($S$139,'TAR FIN'!$A$1:$O$86,15,0))</f>
        <v>0</v>
      </c>
      <c r="W139" s="6">
        <f>IF(ISERROR(VLOOKUP($T$139,'TAR FIN'!$A$1:$O$86,15,0)),0,VLOOKUP($T$139,'TAR FIN'!$A$1:$O$86,15,0))</f>
        <v>292.74</v>
      </c>
      <c r="X139" s="6">
        <f>IF(ISERROR(VLOOKUP($U$139,'TAR FIN'!$A$1:$O$86,15,0)),0,VLOOKUP($U$139,'TAR FIN'!$A$1:$O$86,15,0))</f>
        <v>79.12</v>
      </c>
      <c r="Y139" s="6"/>
      <c r="Z139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39" s="6">
        <f>('TE BE'!$AB$13+'TE BF'!$AB$13+'TE CVA'!$AB$13)*(1-CUSTOS!$M$35)</f>
        <v>69.85708655485459</v>
      </c>
      <c r="AB139" s="6">
        <f>$K$139*$V$139</f>
        <v>0</v>
      </c>
      <c r="AC139" s="6">
        <f>$M$139*$W$139</f>
        <v>2403.3954000000003</v>
      </c>
      <c r="AD139" s="6">
        <f>$O$139*$X$139</f>
        <v>649.57520000000011</v>
      </c>
      <c r="AE139" s="6">
        <f>$K$139*$Y$139</f>
        <v>0</v>
      </c>
      <c r="AF139" s="6">
        <f ca="1">$M$139*$Z$139</f>
        <v>2775.3866796544553</v>
      </c>
      <c r="AG139" s="6">
        <f>$O$139*$AA$139</f>
        <v>573.52668061535621</v>
      </c>
    </row>
    <row r="140" spans="1:33" ht="11.25" customHeight="1" x14ac:dyDescent="0.25">
      <c r="A140" s="4" t="s">
        <v>21</v>
      </c>
      <c r="B140" s="4" t="s">
        <v>22</v>
      </c>
      <c r="C140" s="4" t="s">
        <v>23</v>
      </c>
      <c r="D140" s="4" t="s">
        <v>24</v>
      </c>
      <c r="E140" s="4" t="s">
        <v>30</v>
      </c>
      <c r="F140" s="4" t="s">
        <v>25</v>
      </c>
      <c r="G140" s="4" t="s">
        <v>25</v>
      </c>
      <c r="H140" s="4" t="s">
        <v>25</v>
      </c>
      <c r="I140" s="5">
        <v>44409</v>
      </c>
      <c r="J140" s="6">
        <v>0</v>
      </c>
      <c r="K140" s="6">
        <v>0</v>
      </c>
      <c r="L140" s="6">
        <v>8.6159999999999997</v>
      </c>
      <c r="M140" s="6">
        <v>8.6159999999999997</v>
      </c>
      <c r="N140" s="6">
        <v>8.6159999999999997</v>
      </c>
      <c r="O140" s="6">
        <v>8.6159999999999997</v>
      </c>
      <c r="P140" s="6">
        <v>13</v>
      </c>
      <c r="Q140" s="4" t="s">
        <v>26</v>
      </c>
      <c r="R140" s="4">
        <v>0</v>
      </c>
      <c r="S140" s="6">
        <v>0</v>
      </c>
      <c r="T140" s="6">
        <v>13</v>
      </c>
      <c r="U140" s="6">
        <v>69</v>
      </c>
      <c r="V140" s="6">
        <f>IF(ISERROR(VLOOKUP($S$140,'TAR FIN'!$A$1:$O$86,15,0)),0,VLOOKUP($S$140,'TAR FIN'!$A$1:$O$86,15,0))</f>
        <v>0</v>
      </c>
      <c r="W140" s="6">
        <f>IF(ISERROR(VLOOKUP($T$140,'TAR FIN'!$A$1:$O$86,15,0)),0,VLOOKUP($T$140,'TAR FIN'!$A$1:$O$86,15,0))</f>
        <v>292.74</v>
      </c>
      <c r="X140" s="6">
        <f>IF(ISERROR(VLOOKUP($U$140,'TAR FIN'!$A$1:$O$86,15,0)),0,VLOOKUP($U$140,'TAR FIN'!$A$1:$O$86,15,0))</f>
        <v>79.12</v>
      </c>
      <c r="Y140" s="6"/>
      <c r="Z140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0" s="6">
        <f>('TE BE'!$AB$13+'TE BF'!$AB$13+'TE CVA'!$AB$13)*(1-CUSTOS!$M$35)</f>
        <v>69.85708655485459</v>
      </c>
      <c r="AB140" s="6">
        <f>$K$140*$V$140</f>
        <v>0</v>
      </c>
      <c r="AC140" s="6">
        <f>$M$140*$W$140</f>
        <v>2522.24784</v>
      </c>
      <c r="AD140" s="6">
        <f>$O$140*$X$140</f>
        <v>681.69792000000007</v>
      </c>
      <c r="AE140" s="6">
        <f>$K$140*$Y$140</f>
        <v>0</v>
      </c>
      <c r="AF140" s="6">
        <f ca="1">$M$140*$Z$140</f>
        <v>2912.6347907311551</v>
      </c>
      <c r="AG140" s="6">
        <f>$O$140*$AA$140</f>
        <v>601.88865775662714</v>
      </c>
    </row>
    <row r="141" spans="1:33" ht="11.25" customHeight="1" x14ac:dyDescent="0.25">
      <c r="A141" s="4" t="s">
        <v>21</v>
      </c>
      <c r="B141" s="4" t="s">
        <v>22</v>
      </c>
      <c r="C141" s="4" t="s">
        <v>23</v>
      </c>
      <c r="D141" s="4" t="s">
        <v>24</v>
      </c>
      <c r="E141" s="4" t="s">
        <v>30</v>
      </c>
      <c r="F141" s="4" t="s">
        <v>25</v>
      </c>
      <c r="G141" s="4" t="s">
        <v>25</v>
      </c>
      <c r="H141" s="4" t="s">
        <v>25</v>
      </c>
      <c r="I141" s="5">
        <v>44440</v>
      </c>
      <c r="J141" s="6">
        <v>0</v>
      </c>
      <c r="K141" s="6">
        <v>0</v>
      </c>
      <c r="L141" s="6">
        <v>8.3450000000000006</v>
      </c>
      <c r="M141" s="6">
        <v>8.3450000000000006</v>
      </c>
      <c r="N141" s="6">
        <v>8.3450000000000006</v>
      </c>
      <c r="O141" s="6">
        <v>8.3450000000000006</v>
      </c>
      <c r="P141" s="6">
        <v>15</v>
      </c>
      <c r="Q141" s="4" t="s">
        <v>26</v>
      </c>
      <c r="R141" s="4">
        <v>0</v>
      </c>
      <c r="S141" s="6">
        <v>0</v>
      </c>
      <c r="T141" s="6">
        <v>13</v>
      </c>
      <c r="U141" s="6">
        <v>69</v>
      </c>
      <c r="V141" s="6">
        <f>IF(ISERROR(VLOOKUP($S$141,'TAR FIN'!$A$1:$O$86,15,0)),0,VLOOKUP($S$141,'TAR FIN'!$A$1:$O$86,15,0))</f>
        <v>0</v>
      </c>
      <c r="W141" s="6">
        <f>IF(ISERROR(VLOOKUP($T$141,'TAR FIN'!$A$1:$O$86,15,0)),0,VLOOKUP($T$141,'TAR FIN'!$A$1:$O$86,15,0))</f>
        <v>292.74</v>
      </c>
      <c r="X141" s="6">
        <f>IF(ISERROR(VLOOKUP($U$141,'TAR FIN'!$A$1:$O$86,15,0)),0,VLOOKUP($U$141,'TAR FIN'!$A$1:$O$86,15,0))</f>
        <v>79.12</v>
      </c>
      <c r="Y141" s="6"/>
      <c r="Z141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1" s="6">
        <f>('TE BE'!$AB$13+'TE BF'!$AB$13+'TE CVA'!$AB$13)*(1-CUSTOS!$M$35)</f>
        <v>69.85708655485459</v>
      </c>
      <c r="AB141" s="6">
        <f>$K$141*$V$141</f>
        <v>0</v>
      </c>
      <c r="AC141" s="6">
        <f>$M$141*$W$141</f>
        <v>2442.9153000000001</v>
      </c>
      <c r="AD141" s="6">
        <f>$O$141*$X$141</f>
        <v>660.2564000000001</v>
      </c>
      <c r="AE141" s="6">
        <f>$K$141*$Y$141</f>
        <v>0</v>
      </c>
      <c r="AF141" s="6">
        <f ca="1">$M$141*$Z$141</f>
        <v>2821.0233668351316</v>
      </c>
      <c r="AG141" s="6">
        <f>$O$141*$AA$141</f>
        <v>582.95738730026164</v>
      </c>
    </row>
    <row r="142" spans="1:33" ht="11.25" customHeight="1" x14ac:dyDescent="0.25">
      <c r="A142" s="4" t="s">
        <v>21</v>
      </c>
      <c r="B142" s="4" t="s">
        <v>22</v>
      </c>
      <c r="C142" s="4" t="s">
        <v>23</v>
      </c>
      <c r="D142" s="4" t="s">
        <v>24</v>
      </c>
      <c r="E142" s="4" t="s">
        <v>30</v>
      </c>
      <c r="F142" s="4" t="s">
        <v>25</v>
      </c>
      <c r="G142" s="4" t="s">
        <v>25</v>
      </c>
      <c r="H142" s="4" t="s">
        <v>25</v>
      </c>
      <c r="I142" s="5">
        <v>44470</v>
      </c>
      <c r="J142" s="6">
        <v>0</v>
      </c>
      <c r="K142" s="6">
        <v>0</v>
      </c>
      <c r="L142" s="6">
        <v>8.9440000000000008</v>
      </c>
      <c r="M142" s="6">
        <v>8.9440000000000008</v>
      </c>
      <c r="N142" s="6">
        <v>8.9440000000000008</v>
      </c>
      <c r="O142" s="6">
        <v>8.9440000000000008</v>
      </c>
      <c r="P142" s="6">
        <v>10</v>
      </c>
      <c r="Q142" s="4" t="s">
        <v>26</v>
      </c>
      <c r="R142" s="4">
        <v>0</v>
      </c>
      <c r="S142" s="6">
        <v>0</v>
      </c>
      <c r="T142" s="6">
        <v>13</v>
      </c>
      <c r="U142" s="6">
        <v>69</v>
      </c>
      <c r="V142" s="6">
        <f>IF(ISERROR(VLOOKUP($S$142,'TAR FIN'!$A$1:$O$86,15,0)),0,VLOOKUP($S$142,'TAR FIN'!$A$1:$O$86,15,0))</f>
        <v>0</v>
      </c>
      <c r="W142" s="6">
        <f>IF(ISERROR(VLOOKUP($T$142,'TAR FIN'!$A$1:$O$86,15,0)),0,VLOOKUP($T$142,'TAR FIN'!$A$1:$O$86,15,0))</f>
        <v>292.74</v>
      </c>
      <c r="X142" s="6">
        <f>IF(ISERROR(VLOOKUP($U$142,'TAR FIN'!$A$1:$O$86,15,0)),0,VLOOKUP($U$142,'TAR FIN'!$A$1:$O$86,15,0))</f>
        <v>79.12</v>
      </c>
      <c r="Y142" s="6"/>
      <c r="Z142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2" s="6">
        <f>('TE BE'!$AB$13+'TE BF'!$AB$13+'TE CVA'!$AB$13)*(1-CUSTOS!$M$35)</f>
        <v>69.85708655485459</v>
      </c>
      <c r="AB142" s="6">
        <f>$K$142*$V$142</f>
        <v>0</v>
      </c>
      <c r="AC142" s="6">
        <f>$M$142*$W$142</f>
        <v>2618.2665600000005</v>
      </c>
      <c r="AD142" s="6">
        <f>$O$142*$X$142</f>
        <v>707.64928000000009</v>
      </c>
      <c r="AE142" s="6">
        <f>$K$142*$Y$142</f>
        <v>0</v>
      </c>
      <c r="AF142" s="6">
        <f ca="1">$M$142*$Z$142</f>
        <v>3023.515038103465</v>
      </c>
      <c r="AG142" s="6">
        <f>$O$142*$AA$142</f>
        <v>624.80178214661953</v>
      </c>
    </row>
    <row r="143" spans="1:33" ht="11.25" customHeight="1" x14ac:dyDescent="0.25">
      <c r="A143" s="4" t="s">
        <v>21</v>
      </c>
      <c r="B143" s="4" t="s">
        <v>22</v>
      </c>
      <c r="C143" s="4" t="s">
        <v>23</v>
      </c>
      <c r="D143" s="4" t="s">
        <v>24</v>
      </c>
      <c r="E143" s="4" t="s">
        <v>30</v>
      </c>
      <c r="F143" s="4" t="s">
        <v>25</v>
      </c>
      <c r="G143" s="4" t="s">
        <v>25</v>
      </c>
      <c r="H143" s="4" t="s">
        <v>25</v>
      </c>
      <c r="I143" s="5">
        <v>44501</v>
      </c>
      <c r="J143" s="6">
        <v>0</v>
      </c>
      <c r="K143" s="6">
        <v>0</v>
      </c>
      <c r="L143" s="6">
        <v>9.7840000000000007</v>
      </c>
      <c r="M143" s="6">
        <v>9.7840000000000007</v>
      </c>
      <c r="N143" s="6">
        <v>9.7840000000000007</v>
      </c>
      <c r="O143" s="6">
        <v>9.7840000000000007</v>
      </c>
      <c r="P143" s="6">
        <v>15</v>
      </c>
      <c r="Q143" s="4" t="s">
        <v>26</v>
      </c>
      <c r="R143" s="4">
        <v>0</v>
      </c>
      <c r="S143" s="6">
        <v>0</v>
      </c>
      <c r="T143" s="6">
        <v>13</v>
      </c>
      <c r="U143" s="6">
        <v>69</v>
      </c>
      <c r="V143" s="6">
        <f>IF(ISERROR(VLOOKUP($S$143,'TAR FIN'!$A$1:$O$86,15,0)),0,VLOOKUP($S$143,'TAR FIN'!$A$1:$O$86,15,0))</f>
        <v>0</v>
      </c>
      <c r="W143" s="6">
        <f>IF(ISERROR(VLOOKUP($T$143,'TAR FIN'!$A$1:$O$86,15,0)),0,VLOOKUP($T$143,'TAR FIN'!$A$1:$O$86,15,0))</f>
        <v>292.74</v>
      </c>
      <c r="X143" s="6">
        <f>IF(ISERROR(VLOOKUP($U$143,'TAR FIN'!$A$1:$O$86,15,0)),0,VLOOKUP($U$143,'TAR FIN'!$A$1:$O$86,15,0))</f>
        <v>79.12</v>
      </c>
      <c r="Y143" s="6"/>
      <c r="Z143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3" s="6">
        <f>('TE BE'!$AB$13+'TE BF'!$AB$13+'TE CVA'!$AB$13)*(1-CUSTOS!$M$35)</f>
        <v>69.85708655485459</v>
      </c>
      <c r="AB143" s="6">
        <f>$K$143*$V$143</f>
        <v>0</v>
      </c>
      <c r="AC143" s="6">
        <f>$M$143*$W$143</f>
        <v>2864.1681600000002</v>
      </c>
      <c r="AD143" s="6">
        <f>$O$143*$X$143</f>
        <v>774.11008000000015</v>
      </c>
      <c r="AE143" s="6">
        <f>$K$143*$Y$143</f>
        <v>0</v>
      </c>
      <c r="AF143" s="6">
        <f ca="1">$M$143*$Z$143</f>
        <v>3307.4766472276724</v>
      </c>
      <c r="AG143" s="6">
        <f>$O$143*$AA$143</f>
        <v>683.4817348526974</v>
      </c>
    </row>
    <row r="144" spans="1:33" ht="11.25" customHeight="1" x14ac:dyDescent="0.25">
      <c r="A144" s="4" t="s">
        <v>21</v>
      </c>
      <c r="B144" s="4" t="s">
        <v>22</v>
      </c>
      <c r="C144" s="4" t="s">
        <v>23</v>
      </c>
      <c r="D144" s="4" t="s">
        <v>24</v>
      </c>
      <c r="E144" s="4" t="s">
        <v>30</v>
      </c>
      <c r="F144" s="4" t="s">
        <v>25</v>
      </c>
      <c r="G144" s="4" t="s">
        <v>25</v>
      </c>
      <c r="H144" s="4" t="s">
        <v>25</v>
      </c>
      <c r="I144" s="5">
        <v>44531</v>
      </c>
      <c r="J144" s="6">
        <v>0</v>
      </c>
      <c r="K144" s="6">
        <v>0</v>
      </c>
      <c r="L144" s="6">
        <v>10.077999999999999</v>
      </c>
      <c r="M144" s="6">
        <v>10.077999999999999</v>
      </c>
      <c r="N144" s="6">
        <v>10.077999999999999</v>
      </c>
      <c r="O144" s="6">
        <v>10.077999999999999</v>
      </c>
      <c r="P144" s="6">
        <v>14</v>
      </c>
      <c r="Q144" s="4" t="s">
        <v>26</v>
      </c>
      <c r="R144" s="4">
        <v>0</v>
      </c>
      <c r="S144" s="6">
        <v>0</v>
      </c>
      <c r="T144" s="6">
        <v>13</v>
      </c>
      <c r="U144" s="6">
        <v>69</v>
      </c>
      <c r="V144" s="6">
        <f>IF(ISERROR(VLOOKUP($S$144,'TAR FIN'!$A$1:$O$86,15,0)),0,VLOOKUP($S$144,'TAR FIN'!$A$1:$O$86,15,0))</f>
        <v>0</v>
      </c>
      <c r="W144" s="6">
        <f>IF(ISERROR(VLOOKUP($T$144,'TAR FIN'!$A$1:$O$86,15,0)),0,VLOOKUP($T$144,'TAR FIN'!$A$1:$O$86,15,0))</f>
        <v>292.74</v>
      </c>
      <c r="X144" s="6">
        <f>IF(ISERROR(VLOOKUP($U$144,'TAR FIN'!$A$1:$O$86,15,0)),0,VLOOKUP($U$144,'TAR FIN'!$A$1:$O$86,15,0))</f>
        <v>79.12</v>
      </c>
      <c r="Y144" s="6"/>
      <c r="Z144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4" s="6">
        <f>('TE BE'!$AB$13+'TE BF'!$AB$13+'TE CVA'!$AB$13)*(1-CUSTOS!$M$35)</f>
        <v>69.85708655485459</v>
      </c>
      <c r="AB144" s="6">
        <f>$K$144*$V$144</f>
        <v>0</v>
      </c>
      <c r="AC144" s="6">
        <f>$M$144*$W$144</f>
        <v>2950.2337199999997</v>
      </c>
      <c r="AD144" s="6">
        <f>$O$144*$X$144</f>
        <v>797.37135999999998</v>
      </c>
      <c r="AE144" s="6">
        <f>$K$144*$Y$144</f>
        <v>0</v>
      </c>
      <c r="AF144" s="6">
        <f ca="1">$M$144*$Z$144</f>
        <v>3406.8632104211447</v>
      </c>
      <c r="AG144" s="6">
        <f>$O$144*$AA$144</f>
        <v>704.01971829982449</v>
      </c>
    </row>
    <row r="145" spans="1:33" ht="11.25" customHeight="1" x14ac:dyDescent="0.25">
      <c r="A145" s="4" t="s">
        <v>21</v>
      </c>
      <c r="B145" s="4" t="s">
        <v>22</v>
      </c>
      <c r="C145" s="4" t="s">
        <v>23</v>
      </c>
      <c r="D145" s="4" t="s">
        <v>24</v>
      </c>
      <c r="E145" s="4" t="s">
        <v>30</v>
      </c>
      <c r="F145" s="4" t="s">
        <v>25</v>
      </c>
      <c r="G145" s="4" t="s">
        <v>25</v>
      </c>
      <c r="H145" s="4" t="s">
        <v>25</v>
      </c>
      <c r="I145" s="5">
        <v>44562</v>
      </c>
      <c r="J145" s="6">
        <v>0</v>
      </c>
      <c r="K145" s="6">
        <v>0</v>
      </c>
      <c r="L145" s="6">
        <v>10.484999999999999</v>
      </c>
      <c r="M145" s="6">
        <v>10.484999999999999</v>
      </c>
      <c r="N145" s="6">
        <v>10.484999999999999</v>
      </c>
      <c r="O145" s="6">
        <v>10.484999999999999</v>
      </c>
      <c r="P145" s="6">
        <v>19</v>
      </c>
      <c r="Q145" s="4" t="s">
        <v>26</v>
      </c>
      <c r="R145" s="4">
        <v>0</v>
      </c>
      <c r="S145" s="6">
        <v>0</v>
      </c>
      <c r="T145" s="6">
        <v>13</v>
      </c>
      <c r="U145" s="6">
        <v>69</v>
      </c>
      <c r="V145" s="6">
        <f>IF(ISERROR(VLOOKUP($S$145,'TAR FIN'!$A$1:$O$86,15,0)),0,VLOOKUP($S$145,'TAR FIN'!$A$1:$O$86,15,0))</f>
        <v>0</v>
      </c>
      <c r="W145" s="6">
        <f>IF(ISERROR(VLOOKUP($T$145,'TAR FIN'!$A$1:$O$86,15,0)),0,VLOOKUP($T$145,'TAR FIN'!$A$1:$O$86,15,0))</f>
        <v>292.74</v>
      </c>
      <c r="X145" s="6">
        <f>IF(ISERROR(VLOOKUP($U$145,'TAR FIN'!$A$1:$O$86,15,0)),0,VLOOKUP($U$145,'TAR FIN'!$A$1:$O$86,15,0))</f>
        <v>79.12</v>
      </c>
      <c r="Y145" s="6"/>
      <c r="Z145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5" s="6">
        <f>('TE BE'!$AB$13+'TE BF'!$AB$13+'TE CVA'!$AB$13)*(1-CUSTOS!$M$35)</f>
        <v>69.85708655485459</v>
      </c>
      <c r="AB145" s="6">
        <f>$K$145*$V$145</f>
        <v>0</v>
      </c>
      <c r="AC145" s="6">
        <f>$M$145*$W$145</f>
        <v>3069.3788999999997</v>
      </c>
      <c r="AD145" s="6">
        <f>$O$145*$X$145</f>
        <v>829.57320000000004</v>
      </c>
      <c r="AE145" s="6">
        <f>$K$145*$Y$145</f>
        <v>0</v>
      </c>
      <c r="AF145" s="6">
        <f ca="1">$M$145*$Z$145</f>
        <v>3544.4493710325164</v>
      </c>
      <c r="AG145" s="6">
        <f>$O$145*$AA$145</f>
        <v>732.45155252765028</v>
      </c>
    </row>
    <row r="146" spans="1:33" ht="11.25" customHeight="1" x14ac:dyDescent="0.25">
      <c r="A146" s="4" t="s">
        <v>21</v>
      </c>
      <c r="B146" s="4" t="s">
        <v>22</v>
      </c>
      <c r="C146" s="4" t="s">
        <v>23</v>
      </c>
      <c r="D146" s="4" t="s">
        <v>24</v>
      </c>
      <c r="E146" s="4" t="s">
        <v>30</v>
      </c>
      <c r="F146" s="4" t="s">
        <v>25</v>
      </c>
      <c r="G146" s="4" t="s">
        <v>25</v>
      </c>
      <c r="H146" s="4" t="s">
        <v>25</v>
      </c>
      <c r="I146" s="5">
        <v>44593</v>
      </c>
      <c r="J146" s="6">
        <v>0</v>
      </c>
      <c r="K146" s="6">
        <v>0</v>
      </c>
      <c r="L146" s="6">
        <v>14.499000000000001</v>
      </c>
      <c r="M146" s="6">
        <v>14.499000000000001</v>
      </c>
      <c r="N146" s="6">
        <v>14.499000000000001</v>
      </c>
      <c r="O146" s="6">
        <v>14.499000000000001</v>
      </c>
      <c r="P146" s="6">
        <v>35</v>
      </c>
      <c r="Q146" s="4" t="s">
        <v>26</v>
      </c>
      <c r="R146" s="4">
        <v>0</v>
      </c>
      <c r="S146" s="6">
        <v>0</v>
      </c>
      <c r="T146" s="6">
        <v>13</v>
      </c>
      <c r="U146" s="6">
        <v>69</v>
      </c>
      <c r="V146" s="6">
        <f>IF(ISERROR(VLOOKUP($S$146,'TAR FIN'!$A$1:$O$86,15,0)),0,VLOOKUP($S$146,'TAR FIN'!$A$1:$O$86,15,0))</f>
        <v>0</v>
      </c>
      <c r="W146" s="6">
        <f>IF(ISERROR(VLOOKUP($T$146,'TAR FIN'!$A$1:$O$86,15,0)),0,VLOOKUP($T$146,'TAR FIN'!$A$1:$O$86,15,0))</f>
        <v>292.74</v>
      </c>
      <c r="X146" s="6">
        <f>IF(ISERROR(VLOOKUP($U$146,'TAR FIN'!$A$1:$O$86,15,0)),0,VLOOKUP($U$146,'TAR FIN'!$A$1:$O$86,15,0))</f>
        <v>79.12</v>
      </c>
      <c r="Y146" s="6"/>
      <c r="Z146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6" s="6">
        <f>('TE BE'!$AB$13+'TE BF'!$AB$13+'TE CVA'!$AB$13)*(1-CUSTOS!$M$35)</f>
        <v>69.85708655485459</v>
      </c>
      <c r="AB146" s="6">
        <f>$K$146*$V$146</f>
        <v>0</v>
      </c>
      <c r="AC146" s="6">
        <f>$M$146*$W$146</f>
        <v>4244.4372600000006</v>
      </c>
      <c r="AD146" s="6">
        <f>$O$146*$X$146</f>
        <v>1147.1608800000001</v>
      </c>
      <c r="AE146" s="6">
        <f>$K$146*$Y$146</f>
        <v>0</v>
      </c>
      <c r="AF146" s="6">
        <f ca="1">$M$146*$Z$146</f>
        <v>4901.3802032046224</v>
      </c>
      <c r="AG146" s="6">
        <f>$O$146*$AA$146</f>
        <v>1012.8578979588367</v>
      </c>
    </row>
    <row r="147" spans="1:33" ht="11.25" customHeight="1" x14ac:dyDescent="0.25">
      <c r="A147" s="4" t="s">
        <v>21</v>
      </c>
      <c r="B147" s="4" t="s">
        <v>22</v>
      </c>
      <c r="C147" s="4" t="s">
        <v>23</v>
      </c>
      <c r="D147" s="4" t="s">
        <v>24</v>
      </c>
      <c r="E147" s="4" t="s">
        <v>30</v>
      </c>
      <c r="F147" s="4" t="s">
        <v>25</v>
      </c>
      <c r="G147" s="4" t="s">
        <v>25</v>
      </c>
      <c r="H147" s="4" t="s">
        <v>25</v>
      </c>
      <c r="I147" s="5">
        <v>44621</v>
      </c>
      <c r="J147" s="6">
        <v>0</v>
      </c>
      <c r="K147" s="6">
        <v>0</v>
      </c>
      <c r="L147" s="6">
        <v>26.244</v>
      </c>
      <c r="M147" s="6">
        <v>26.244</v>
      </c>
      <c r="N147" s="6">
        <v>26.244</v>
      </c>
      <c r="O147" s="6">
        <v>26.244</v>
      </c>
      <c r="P147" s="6">
        <v>109</v>
      </c>
      <c r="Q147" s="4" t="s">
        <v>26</v>
      </c>
      <c r="R147" s="4">
        <v>0</v>
      </c>
      <c r="S147" s="6">
        <v>0</v>
      </c>
      <c r="T147" s="6">
        <v>13</v>
      </c>
      <c r="U147" s="6">
        <v>69</v>
      </c>
      <c r="V147" s="6">
        <f>IF(ISERROR(VLOOKUP($S$147,'TAR FIN'!$A$1:$O$86,15,0)),0,VLOOKUP($S$147,'TAR FIN'!$A$1:$O$86,15,0))</f>
        <v>0</v>
      </c>
      <c r="W147" s="6">
        <f>IF(ISERROR(VLOOKUP($T$147,'TAR FIN'!$A$1:$O$86,15,0)),0,VLOOKUP($T$147,'TAR FIN'!$A$1:$O$86,15,0))</f>
        <v>292.74</v>
      </c>
      <c r="X147" s="6">
        <f>IF(ISERROR(VLOOKUP($U$147,'TAR FIN'!$A$1:$O$86,15,0)),0,VLOOKUP($U$147,'TAR FIN'!$A$1:$O$86,15,0))</f>
        <v>79.12</v>
      </c>
      <c r="Y147" s="6"/>
      <c r="Z147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7" s="6">
        <f>('TE BE'!$AB$13+'TE BF'!$AB$13+'TE CVA'!$AB$13)*(1-CUSTOS!$M$35)</f>
        <v>69.85708655485459</v>
      </c>
      <c r="AB147" s="6">
        <f>$K$147*$V$147</f>
        <v>0</v>
      </c>
      <c r="AC147" s="6">
        <f>$M$147*$W$147</f>
        <v>7682.6685600000001</v>
      </c>
      <c r="AD147" s="6">
        <f>$O$147*$X$147</f>
        <v>2076.4252799999999</v>
      </c>
      <c r="AE147" s="6">
        <f>$K$147*$Y$147</f>
        <v>0</v>
      </c>
      <c r="AF147" s="6">
        <f ca="1">$M$147*$Z$147</f>
        <v>8871.7719879234501</v>
      </c>
      <c r="AG147" s="6">
        <f>$O$147*$AA$147</f>
        <v>1833.3293795456038</v>
      </c>
    </row>
    <row r="148" spans="1:33" ht="11.25" customHeight="1" x14ac:dyDescent="0.25">
      <c r="A148" s="4" t="s">
        <v>21</v>
      </c>
      <c r="B148" s="4" t="s">
        <v>22</v>
      </c>
      <c r="C148" s="4" t="s">
        <v>23</v>
      </c>
      <c r="D148" s="4" t="s">
        <v>24</v>
      </c>
      <c r="E148" s="4" t="s">
        <v>30</v>
      </c>
      <c r="F148" s="4" t="s">
        <v>25</v>
      </c>
      <c r="G148" s="4" t="s">
        <v>25</v>
      </c>
      <c r="H148" s="4" t="s">
        <v>25</v>
      </c>
      <c r="I148" s="5">
        <v>44652</v>
      </c>
      <c r="J148" s="6">
        <v>0</v>
      </c>
      <c r="K148" s="6">
        <v>0</v>
      </c>
      <c r="L148" s="6">
        <v>36.750999999999998</v>
      </c>
      <c r="M148" s="6">
        <v>36.750999999999998</v>
      </c>
      <c r="N148" s="6">
        <v>36.750999999999998</v>
      </c>
      <c r="O148" s="6">
        <v>36.750999999999998</v>
      </c>
      <c r="P148" s="6">
        <v>150</v>
      </c>
      <c r="Q148" s="4" t="s">
        <v>26</v>
      </c>
      <c r="R148" s="4">
        <v>0</v>
      </c>
      <c r="S148" s="6">
        <v>0</v>
      </c>
      <c r="T148" s="6">
        <v>13</v>
      </c>
      <c r="U148" s="6">
        <v>69</v>
      </c>
      <c r="V148" s="6">
        <f>IF(ISERROR(VLOOKUP($S$148,'TAR FIN'!$A$1:$O$86,15,0)),0,VLOOKUP($S$148,'TAR FIN'!$A$1:$O$86,15,0))</f>
        <v>0</v>
      </c>
      <c r="W148" s="6">
        <f>IF(ISERROR(VLOOKUP($T$148,'TAR FIN'!$A$1:$O$86,15,0)),0,VLOOKUP($T$148,'TAR FIN'!$A$1:$O$86,15,0))</f>
        <v>292.74</v>
      </c>
      <c r="X148" s="6">
        <f>IF(ISERROR(VLOOKUP($U$148,'TAR FIN'!$A$1:$O$86,15,0)),0,VLOOKUP($U$148,'TAR FIN'!$A$1:$O$86,15,0))</f>
        <v>79.12</v>
      </c>
      <c r="Y148" s="6"/>
      <c r="Z148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8" s="6">
        <f>('TE BE'!$AB$13+'TE BF'!$AB$13+'TE CVA'!$AB$13)*(1-CUSTOS!$M$35)</f>
        <v>69.85708655485459</v>
      </c>
      <c r="AB148" s="6">
        <f>$K$148*$V$148</f>
        <v>0</v>
      </c>
      <c r="AC148" s="6">
        <f>$M$148*$W$148</f>
        <v>10758.48774</v>
      </c>
      <c r="AD148" s="6">
        <f>$O$148*$X$148</f>
        <v>2907.7391200000002</v>
      </c>
      <c r="AE148" s="6">
        <f>$K$148*$Y$148</f>
        <v>0</v>
      </c>
      <c r="AF148" s="6">
        <f ca="1">$M$148*$Z$148</f>
        <v>12423.658448718743</v>
      </c>
      <c r="AG148" s="6">
        <f>$O$148*$AA$148</f>
        <v>2567.3177879774607</v>
      </c>
    </row>
    <row r="149" spans="1:33" ht="11.25" customHeight="1" x14ac:dyDescent="0.25">
      <c r="A149" s="4" t="s">
        <v>21</v>
      </c>
      <c r="B149" s="4" t="s">
        <v>22</v>
      </c>
      <c r="C149" s="4" t="s">
        <v>23</v>
      </c>
      <c r="D149" s="4" t="s">
        <v>24</v>
      </c>
      <c r="E149" s="4" t="s">
        <v>30</v>
      </c>
      <c r="F149" s="4" t="s">
        <v>25</v>
      </c>
      <c r="G149" s="4" t="s">
        <v>25</v>
      </c>
      <c r="H149" s="4" t="s">
        <v>25</v>
      </c>
      <c r="I149" s="5">
        <v>44682</v>
      </c>
      <c r="J149" s="6">
        <v>0</v>
      </c>
      <c r="K149" s="6">
        <v>0</v>
      </c>
      <c r="L149" s="6">
        <v>38.4</v>
      </c>
      <c r="M149" s="6">
        <v>38.4</v>
      </c>
      <c r="N149" s="6">
        <v>38.4</v>
      </c>
      <c r="O149" s="6">
        <v>38.4</v>
      </c>
      <c r="P149" s="6">
        <v>175</v>
      </c>
      <c r="Q149" s="4" t="s">
        <v>26</v>
      </c>
      <c r="R149" s="4">
        <v>0</v>
      </c>
      <c r="S149" s="6">
        <v>0</v>
      </c>
      <c r="T149" s="6">
        <v>13</v>
      </c>
      <c r="U149" s="6">
        <v>69</v>
      </c>
      <c r="V149" s="6">
        <f>IF(ISERROR(VLOOKUP($S$149,'TAR FIN'!$A$1:$O$86,15,0)),0,VLOOKUP($S$149,'TAR FIN'!$A$1:$O$86,15,0))</f>
        <v>0</v>
      </c>
      <c r="W149" s="6">
        <f>IF(ISERROR(VLOOKUP($T$149,'TAR FIN'!$A$1:$O$86,15,0)),0,VLOOKUP($T$149,'TAR FIN'!$A$1:$O$86,15,0))</f>
        <v>292.74</v>
      </c>
      <c r="X149" s="6">
        <f>IF(ISERROR(VLOOKUP($U$149,'TAR FIN'!$A$1:$O$86,15,0)),0,VLOOKUP($U$149,'TAR FIN'!$A$1:$O$86,15,0))</f>
        <v>79.12</v>
      </c>
      <c r="Y149" s="6"/>
      <c r="Z149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49" s="6">
        <f>('TE BE'!$AB$13+'TE BF'!$AB$13+'TE CVA'!$AB$13)*(1-CUSTOS!$M$35)</f>
        <v>69.85708655485459</v>
      </c>
      <c r="AB149" s="6">
        <f>$K$149*$V$149</f>
        <v>0</v>
      </c>
      <c r="AC149" s="6">
        <f>$M$149*$W$149</f>
        <v>11241.216</v>
      </c>
      <c r="AD149" s="6">
        <f>$O$149*$X$149</f>
        <v>3038.2080000000001</v>
      </c>
      <c r="AE149" s="6">
        <f>$K$149*$Y$149</f>
        <v>0</v>
      </c>
      <c r="AF149" s="6">
        <f ca="1">$M$149*$Z$149</f>
        <v>12981.102131392336</v>
      </c>
      <c r="AG149" s="6">
        <f>$O$149*$AA$149</f>
        <v>2682.5121237064163</v>
      </c>
    </row>
    <row r="150" spans="1:33" ht="11.25" customHeight="1" x14ac:dyDescent="0.25">
      <c r="A150" s="4" t="s">
        <v>21</v>
      </c>
      <c r="B150" s="4" t="s">
        <v>22</v>
      </c>
      <c r="C150" s="4" t="s">
        <v>23</v>
      </c>
      <c r="D150" s="4" t="s">
        <v>24</v>
      </c>
      <c r="E150" s="4" t="s">
        <v>30</v>
      </c>
      <c r="F150" s="4" t="s">
        <v>25</v>
      </c>
      <c r="G150" s="4" t="s">
        <v>25</v>
      </c>
      <c r="H150" s="4" t="s">
        <v>25</v>
      </c>
      <c r="I150" s="5">
        <v>44713</v>
      </c>
      <c r="J150" s="6">
        <v>0</v>
      </c>
      <c r="K150" s="6">
        <v>0</v>
      </c>
      <c r="L150" s="6">
        <v>40.319000000000003</v>
      </c>
      <c r="M150" s="6">
        <v>40.319000000000003</v>
      </c>
      <c r="N150" s="6">
        <v>40.319000000000003</v>
      </c>
      <c r="O150" s="6">
        <v>40.319000000000003</v>
      </c>
      <c r="P150" s="6">
        <v>180</v>
      </c>
      <c r="Q150" s="4" t="s">
        <v>26</v>
      </c>
      <c r="R150" s="4">
        <v>0</v>
      </c>
      <c r="S150" s="6">
        <v>0</v>
      </c>
      <c r="T150" s="6">
        <v>13</v>
      </c>
      <c r="U150" s="6">
        <v>69</v>
      </c>
      <c r="V150" s="6">
        <f>IF(ISERROR(VLOOKUP($S$150,'TAR FIN'!$A$1:$O$86,15,0)),0,VLOOKUP($S$150,'TAR FIN'!$A$1:$O$86,15,0))</f>
        <v>0</v>
      </c>
      <c r="W150" s="6">
        <f>IF(ISERROR(VLOOKUP($T$150,'TAR FIN'!$A$1:$O$86,15,0)),0,VLOOKUP($T$150,'TAR FIN'!$A$1:$O$86,15,0))</f>
        <v>292.74</v>
      </c>
      <c r="X150" s="6">
        <f>IF(ISERROR(VLOOKUP($U$150,'TAR FIN'!$A$1:$O$86,15,0)),0,VLOOKUP($U$150,'TAR FIN'!$A$1:$O$86,15,0))</f>
        <v>79.12</v>
      </c>
      <c r="Y150" s="6"/>
      <c r="Z150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50" s="6">
        <f>('TE BE'!$AB$13+'TE BF'!$AB$13+'TE CVA'!$AB$13)*(1-CUSTOS!$M$35)</f>
        <v>69.85708655485459</v>
      </c>
      <c r="AB150" s="6">
        <f>$K$150*$V$150</f>
        <v>0</v>
      </c>
      <c r="AC150" s="6">
        <f>$M$150*$W$150</f>
        <v>11802.984060000001</v>
      </c>
      <c r="AD150" s="6">
        <f>$O$150*$X$150</f>
        <v>3190.0392800000004</v>
      </c>
      <c r="AE150" s="6">
        <f>$K$150*$Y$150</f>
        <v>0</v>
      </c>
      <c r="AF150" s="6">
        <f ca="1">$M$150*$Z$150</f>
        <v>13629.819188427282</v>
      </c>
      <c r="AG150" s="6">
        <f>$O$150*$AA$150</f>
        <v>2816.5678728051826</v>
      </c>
    </row>
    <row r="151" spans="1:33" ht="11.25" customHeight="1" x14ac:dyDescent="0.25">
      <c r="A151" s="4" t="s">
        <v>21</v>
      </c>
      <c r="B151" s="4" t="s">
        <v>22</v>
      </c>
      <c r="C151" s="4" t="s">
        <v>23</v>
      </c>
      <c r="D151" s="4" t="s">
        <v>24</v>
      </c>
      <c r="E151" s="4" t="s">
        <v>31</v>
      </c>
      <c r="F151" s="4" t="s">
        <v>25</v>
      </c>
      <c r="G151" s="4" t="s">
        <v>25</v>
      </c>
      <c r="H151" s="4" t="s">
        <v>25</v>
      </c>
      <c r="I151" s="5">
        <v>44378</v>
      </c>
      <c r="J151" s="6">
        <v>0</v>
      </c>
      <c r="K151" s="6">
        <v>0</v>
      </c>
      <c r="L151" s="6">
        <v>8.4429999999999996</v>
      </c>
      <c r="M151" s="6">
        <v>8.4429999999999996</v>
      </c>
      <c r="N151" s="6">
        <v>8.4429999999999996</v>
      </c>
      <c r="O151" s="6">
        <v>8.4429999999999996</v>
      </c>
      <c r="P151" s="6">
        <v>70</v>
      </c>
      <c r="Q151" s="4" t="s">
        <v>26</v>
      </c>
      <c r="R151" s="4">
        <v>0</v>
      </c>
      <c r="S151" s="6">
        <v>0</v>
      </c>
      <c r="T151" s="6">
        <v>4</v>
      </c>
      <c r="U151" s="6">
        <v>60</v>
      </c>
      <c r="V151" s="6">
        <f>IF(ISERROR(VLOOKUP($S$151,'TAR FIN'!$A$1:$O$86,15,0)),0,VLOOKUP($S$151,'TAR FIN'!$A$1:$O$86,15,0))</f>
        <v>0</v>
      </c>
      <c r="W151" s="6">
        <f>IF(ISERROR(VLOOKUP($T$151,'TAR FIN'!$A$1:$O$86,15,0)),0,VLOOKUP($T$151,'TAR FIN'!$A$1:$O$86,15,0))</f>
        <v>439.1</v>
      </c>
      <c r="X151" s="6">
        <f>IF(ISERROR(VLOOKUP($U$151,'TAR FIN'!$A$1:$O$86,15,0)),0,VLOOKUP($U$151,'TAR FIN'!$A$1:$O$86,15,0))</f>
        <v>118.68</v>
      </c>
      <c r="Y151" s="6"/>
      <c r="Z151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1" s="6">
        <f>('TE BE'!$AB$14+'TE BF'!$AB$14+'TE CVA'!$AB$14)*(1-CUSTOS!$M$36)</f>
        <v>104.78562983228188</v>
      </c>
      <c r="AB151" s="6">
        <f>$K$151*$V$151</f>
        <v>0</v>
      </c>
      <c r="AC151" s="6">
        <f>$M$151*$W$151</f>
        <v>3707.3213000000001</v>
      </c>
      <c r="AD151" s="6">
        <f>$O$151*$X$151</f>
        <v>1002.0152400000001</v>
      </c>
      <c r="AE151" s="6">
        <f>$K$151*$Y$151</f>
        <v>0</v>
      </c>
      <c r="AF151" s="6">
        <f ca="1">$M$151*$Z$151</f>
        <v>4281.2283318494337</v>
      </c>
      <c r="AG151" s="6">
        <f>$O$151*$AA$151</f>
        <v>884.7050726739559</v>
      </c>
    </row>
    <row r="152" spans="1:33" ht="11.25" customHeight="1" x14ac:dyDescent="0.25">
      <c r="A152" s="4" t="s">
        <v>21</v>
      </c>
      <c r="B152" s="4" t="s">
        <v>22</v>
      </c>
      <c r="C152" s="4" t="s">
        <v>23</v>
      </c>
      <c r="D152" s="4" t="s">
        <v>24</v>
      </c>
      <c r="E152" s="4" t="s">
        <v>31</v>
      </c>
      <c r="F152" s="4" t="s">
        <v>25</v>
      </c>
      <c r="G152" s="4" t="s">
        <v>25</v>
      </c>
      <c r="H152" s="4" t="s">
        <v>25</v>
      </c>
      <c r="I152" s="5">
        <v>44409</v>
      </c>
      <c r="J152" s="6">
        <v>0</v>
      </c>
      <c r="K152" s="6">
        <v>0</v>
      </c>
      <c r="L152" s="6">
        <v>9.3889999999999993</v>
      </c>
      <c r="M152" s="6">
        <v>9.3889999999999993</v>
      </c>
      <c r="N152" s="6">
        <v>9.3889999999999993</v>
      </c>
      <c r="O152" s="6">
        <v>9.3889999999999993</v>
      </c>
      <c r="P152" s="6">
        <v>72</v>
      </c>
      <c r="Q152" s="4" t="s">
        <v>26</v>
      </c>
      <c r="R152" s="4">
        <v>0</v>
      </c>
      <c r="S152" s="6">
        <v>0</v>
      </c>
      <c r="T152" s="6">
        <v>4</v>
      </c>
      <c r="U152" s="6">
        <v>60</v>
      </c>
      <c r="V152" s="6">
        <f>IF(ISERROR(VLOOKUP($S$152,'TAR FIN'!$A$1:$O$86,15,0)),0,VLOOKUP($S$152,'TAR FIN'!$A$1:$O$86,15,0))</f>
        <v>0</v>
      </c>
      <c r="W152" s="6">
        <f>IF(ISERROR(VLOOKUP($T$152,'TAR FIN'!$A$1:$O$86,15,0)),0,VLOOKUP($T$152,'TAR FIN'!$A$1:$O$86,15,0))</f>
        <v>439.1</v>
      </c>
      <c r="X152" s="6">
        <f>IF(ISERROR(VLOOKUP($U$152,'TAR FIN'!$A$1:$O$86,15,0)),0,VLOOKUP($U$152,'TAR FIN'!$A$1:$O$86,15,0))</f>
        <v>118.68</v>
      </c>
      <c r="Y152" s="6"/>
      <c r="Z152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2" s="6">
        <f>('TE BE'!$AB$14+'TE BF'!$AB$14+'TE CVA'!$AB$14)*(1-CUSTOS!$M$36)</f>
        <v>104.78562983228188</v>
      </c>
      <c r="AB152" s="6">
        <f>$K$152*$V$152</f>
        <v>0</v>
      </c>
      <c r="AC152" s="6">
        <f>$M$152*$W$152</f>
        <v>4122.7098999999998</v>
      </c>
      <c r="AD152" s="6">
        <f>$O$152*$X$152</f>
        <v>1114.2865199999999</v>
      </c>
      <c r="AE152" s="6">
        <f>$K$152*$Y$152</f>
        <v>0</v>
      </c>
      <c r="AF152" s="6">
        <f ca="1">$M$152*$Z$152</f>
        <v>4760.920621548541</v>
      </c>
      <c r="AG152" s="6">
        <f>$O$152*$AA$152</f>
        <v>983.83227849529453</v>
      </c>
    </row>
    <row r="153" spans="1:33" ht="11.25" customHeight="1" x14ac:dyDescent="0.25">
      <c r="A153" s="4" t="s">
        <v>21</v>
      </c>
      <c r="B153" s="4" t="s">
        <v>22</v>
      </c>
      <c r="C153" s="4" t="s">
        <v>23</v>
      </c>
      <c r="D153" s="4" t="s">
        <v>24</v>
      </c>
      <c r="E153" s="4" t="s">
        <v>31</v>
      </c>
      <c r="F153" s="4" t="s">
        <v>25</v>
      </c>
      <c r="G153" s="4" t="s">
        <v>25</v>
      </c>
      <c r="H153" s="4" t="s">
        <v>25</v>
      </c>
      <c r="I153" s="5">
        <v>44440</v>
      </c>
      <c r="J153" s="6">
        <v>0</v>
      </c>
      <c r="K153" s="6">
        <v>0</v>
      </c>
      <c r="L153" s="6">
        <v>8.8919999999999995</v>
      </c>
      <c r="M153" s="6">
        <v>8.8919999999999995</v>
      </c>
      <c r="N153" s="6">
        <v>8.8919999999999995</v>
      </c>
      <c r="O153" s="6">
        <v>8.8919999999999995</v>
      </c>
      <c r="P153" s="6">
        <v>70</v>
      </c>
      <c r="Q153" s="4" t="s">
        <v>26</v>
      </c>
      <c r="R153" s="4">
        <v>0</v>
      </c>
      <c r="S153" s="6">
        <v>0</v>
      </c>
      <c r="T153" s="6">
        <v>4</v>
      </c>
      <c r="U153" s="6">
        <v>60</v>
      </c>
      <c r="V153" s="6">
        <f>IF(ISERROR(VLOOKUP($S$153,'TAR FIN'!$A$1:$O$86,15,0)),0,VLOOKUP($S$153,'TAR FIN'!$A$1:$O$86,15,0))</f>
        <v>0</v>
      </c>
      <c r="W153" s="6">
        <f>IF(ISERROR(VLOOKUP($T$153,'TAR FIN'!$A$1:$O$86,15,0)),0,VLOOKUP($T$153,'TAR FIN'!$A$1:$O$86,15,0))</f>
        <v>439.1</v>
      </c>
      <c r="X153" s="6">
        <f>IF(ISERROR(VLOOKUP($U$153,'TAR FIN'!$A$1:$O$86,15,0)),0,VLOOKUP($U$153,'TAR FIN'!$A$1:$O$86,15,0))</f>
        <v>118.68</v>
      </c>
      <c r="Y153" s="6"/>
      <c r="Z153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3" s="6">
        <f>('TE BE'!$AB$14+'TE BF'!$AB$14+'TE CVA'!$AB$14)*(1-CUSTOS!$M$36)</f>
        <v>104.78562983228188</v>
      </c>
      <c r="AB153" s="6">
        <f>$K$153*$V$153</f>
        <v>0</v>
      </c>
      <c r="AC153" s="6">
        <f>$M$153*$W$153</f>
        <v>3904.4771999999998</v>
      </c>
      <c r="AD153" s="6">
        <f>$O$153*$X$153</f>
        <v>1055.3025600000001</v>
      </c>
      <c r="AE153" s="6">
        <f>$K$153*$Y$153</f>
        <v>0</v>
      </c>
      <c r="AF153" s="6">
        <f ca="1">$M$153*$Z$153</f>
        <v>4508.9046934508069</v>
      </c>
      <c r="AG153" s="6">
        <f>$O$153*$AA$153</f>
        <v>931.75382046865047</v>
      </c>
    </row>
    <row r="154" spans="1:33" ht="11.25" customHeight="1" x14ac:dyDescent="0.25">
      <c r="A154" s="4" t="s">
        <v>21</v>
      </c>
      <c r="B154" s="4" t="s">
        <v>22</v>
      </c>
      <c r="C154" s="4" t="s">
        <v>23</v>
      </c>
      <c r="D154" s="4" t="s">
        <v>24</v>
      </c>
      <c r="E154" s="4" t="s">
        <v>31</v>
      </c>
      <c r="F154" s="4" t="s">
        <v>25</v>
      </c>
      <c r="G154" s="4" t="s">
        <v>25</v>
      </c>
      <c r="H154" s="4" t="s">
        <v>25</v>
      </c>
      <c r="I154" s="5">
        <v>44470</v>
      </c>
      <c r="J154" s="6">
        <v>0</v>
      </c>
      <c r="K154" s="6">
        <v>0</v>
      </c>
      <c r="L154" s="6">
        <v>10.034000000000001</v>
      </c>
      <c r="M154" s="6">
        <v>10.034000000000001</v>
      </c>
      <c r="N154" s="6">
        <v>10.034000000000001</v>
      </c>
      <c r="O154" s="6">
        <v>10.034000000000001</v>
      </c>
      <c r="P154" s="6">
        <v>78</v>
      </c>
      <c r="Q154" s="4" t="s">
        <v>26</v>
      </c>
      <c r="R154" s="4">
        <v>0</v>
      </c>
      <c r="S154" s="6">
        <v>0</v>
      </c>
      <c r="T154" s="6">
        <v>4</v>
      </c>
      <c r="U154" s="6">
        <v>60</v>
      </c>
      <c r="V154" s="6">
        <f>IF(ISERROR(VLOOKUP($S$154,'TAR FIN'!$A$1:$O$86,15,0)),0,VLOOKUP($S$154,'TAR FIN'!$A$1:$O$86,15,0))</f>
        <v>0</v>
      </c>
      <c r="W154" s="6">
        <f>IF(ISERROR(VLOOKUP($T$154,'TAR FIN'!$A$1:$O$86,15,0)),0,VLOOKUP($T$154,'TAR FIN'!$A$1:$O$86,15,0))</f>
        <v>439.1</v>
      </c>
      <c r="X154" s="6">
        <f>IF(ISERROR(VLOOKUP($U$154,'TAR FIN'!$A$1:$O$86,15,0)),0,VLOOKUP($U$154,'TAR FIN'!$A$1:$O$86,15,0))</f>
        <v>118.68</v>
      </c>
      <c r="Y154" s="6"/>
      <c r="Z154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4" s="6">
        <f>('TE BE'!$AB$14+'TE BF'!$AB$14+'TE CVA'!$AB$14)*(1-CUSTOS!$M$36)</f>
        <v>104.78562983228188</v>
      </c>
      <c r="AB154" s="6">
        <f>$K$154*$V$154</f>
        <v>0</v>
      </c>
      <c r="AC154" s="6">
        <f>$M$154*$W$154</f>
        <v>4405.9294000000009</v>
      </c>
      <c r="AD154" s="6">
        <f>$O$154*$X$154</f>
        <v>1190.8351200000002</v>
      </c>
      <c r="AE154" s="6">
        <f>$K$154*$Y$154</f>
        <v>0</v>
      </c>
      <c r="AF154" s="6">
        <f ca="1">$M$154*$Z$154</f>
        <v>5087.9835463433874</v>
      </c>
      <c r="AG154" s="6">
        <f>$O$154*$AA$154</f>
        <v>1051.4190097371165</v>
      </c>
    </row>
    <row r="155" spans="1:33" ht="11.25" customHeight="1" x14ac:dyDescent="0.25">
      <c r="A155" s="4" t="s">
        <v>21</v>
      </c>
      <c r="B155" s="4" t="s">
        <v>22</v>
      </c>
      <c r="C155" s="4" t="s">
        <v>23</v>
      </c>
      <c r="D155" s="4" t="s">
        <v>24</v>
      </c>
      <c r="E155" s="4" t="s">
        <v>31</v>
      </c>
      <c r="F155" s="4" t="s">
        <v>25</v>
      </c>
      <c r="G155" s="4" t="s">
        <v>25</v>
      </c>
      <c r="H155" s="4" t="s">
        <v>25</v>
      </c>
      <c r="I155" s="5">
        <v>44501</v>
      </c>
      <c r="J155" s="6">
        <v>0</v>
      </c>
      <c r="K155" s="6">
        <v>0</v>
      </c>
      <c r="L155" s="6">
        <v>10.375999999999999</v>
      </c>
      <c r="M155" s="6">
        <v>10.375999999999999</v>
      </c>
      <c r="N155" s="6">
        <v>10.375999999999999</v>
      </c>
      <c r="O155" s="6">
        <v>10.375999999999999</v>
      </c>
      <c r="P155" s="6">
        <v>88</v>
      </c>
      <c r="Q155" s="4" t="s">
        <v>26</v>
      </c>
      <c r="R155" s="4">
        <v>0</v>
      </c>
      <c r="S155" s="6">
        <v>0</v>
      </c>
      <c r="T155" s="6">
        <v>4</v>
      </c>
      <c r="U155" s="6">
        <v>60</v>
      </c>
      <c r="V155" s="6">
        <f>IF(ISERROR(VLOOKUP($S$155,'TAR FIN'!$A$1:$O$86,15,0)),0,VLOOKUP($S$155,'TAR FIN'!$A$1:$O$86,15,0))</f>
        <v>0</v>
      </c>
      <c r="W155" s="6">
        <f>IF(ISERROR(VLOOKUP($T$155,'TAR FIN'!$A$1:$O$86,15,0)),0,VLOOKUP($T$155,'TAR FIN'!$A$1:$O$86,15,0))</f>
        <v>439.1</v>
      </c>
      <c r="X155" s="6">
        <f>IF(ISERROR(VLOOKUP($U$155,'TAR FIN'!$A$1:$O$86,15,0)),0,VLOOKUP($U$155,'TAR FIN'!$A$1:$O$86,15,0))</f>
        <v>118.68</v>
      </c>
      <c r="Y155" s="6"/>
      <c r="Z155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5" s="6">
        <f>('TE BE'!$AB$14+'TE BF'!$AB$14+'TE CVA'!$AB$14)*(1-CUSTOS!$M$36)</f>
        <v>104.78562983228188</v>
      </c>
      <c r="AB155" s="6">
        <f>$K$155*$V$155</f>
        <v>0</v>
      </c>
      <c r="AC155" s="6">
        <f>$M$155*$W$155</f>
        <v>4556.1016</v>
      </c>
      <c r="AD155" s="6">
        <f>$O$155*$X$155</f>
        <v>1231.4236800000001</v>
      </c>
      <c r="AE155" s="6">
        <f>$K$155*$Y$155</f>
        <v>0</v>
      </c>
      <c r="AF155" s="6">
        <f ca="1">$M$155*$Z$155</f>
        <v>5261.4029576299563</v>
      </c>
      <c r="AG155" s="6">
        <f>$O$155*$AA$155</f>
        <v>1087.2556951397569</v>
      </c>
    </row>
    <row r="156" spans="1:33" ht="11.25" customHeight="1" x14ac:dyDescent="0.25">
      <c r="A156" s="4" t="s">
        <v>21</v>
      </c>
      <c r="B156" s="4" t="s">
        <v>22</v>
      </c>
      <c r="C156" s="4" t="s">
        <v>23</v>
      </c>
      <c r="D156" s="4" t="s">
        <v>24</v>
      </c>
      <c r="E156" s="4" t="s">
        <v>31</v>
      </c>
      <c r="F156" s="4" t="s">
        <v>25</v>
      </c>
      <c r="G156" s="4" t="s">
        <v>25</v>
      </c>
      <c r="H156" s="4" t="s">
        <v>25</v>
      </c>
      <c r="I156" s="5">
        <v>44531</v>
      </c>
      <c r="J156" s="6">
        <v>0</v>
      </c>
      <c r="K156" s="6">
        <v>0</v>
      </c>
      <c r="L156" s="6">
        <v>9.7309999999999999</v>
      </c>
      <c r="M156" s="6">
        <v>9.7309999999999999</v>
      </c>
      <c r="N156" s="6">
        <v>9.7309999999999999</v>
      </c>
      <c r="O156" s="6">
        <v>9.7309999999999999</v>
      </c>
      <c r="P156" s="6">
        <v>105</v>
      </c>
      <c r="Q156" s="4" t="s">
        <v>26</v>
      </c>
      <c r="R156" s="4">
        <v>0</v>
      </c>
      <c r="S156" s="6">
        <v>0</v>
      </c>
      <c r="T156" s="6">
        <v>4</v>
      </c>
      <c r="U156" s="6">
        <v>60</v>
      </c>
      <c r="V156" s="6">
        <f>IF(ISERROR(VLOOKUP($S$156,'TAR FIN'!$A$1:$O$86,15,0)),0,VLOOKUP($S$156,'TAR FIN'!$A$1:$O$86,15,0))</f>
        <v>0</v>
      </c>
      <c r="W156" s="6">
        <f>IF(ISERROR(VLOOKUP($T$156,'TAR FIN'!$A$1:$O$86,15,0)),0,VLOOKUP($T$156,'TAR FIN'!$A$1:$O$86,15,0))</f>
        <v>439.1</v>
      </c>
      <c r="X156" s="6">
        <f>IF(ISERROR(VLOOKUP($U$156,'TAR FIN'!$A$1:$O$86,15,0)),0,VLOOKUP($U$156,'TAR FIN'!$A$1:$O$86,15,0))</f>
        <v>118.68</v>
      </c>
      <c r="Y156" s="6"/>
      <c r="Z156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6" s="6">
        <f>('TE BE'!$AB$14+'TE BF'!$AB$14+'TE CVA'!$AB$14)*(1-CUSTOS!$M$36)</f>
        <v>104.78562983228188</v>
      </c>
      <c r="AB156" s="6">
        <f>$K$156*$V$156</f>
        <v>0</v>
      </c>
      <c r="AC156" s="6">
        <f>$M$156*$W$156</f>
        <v>4272.8820999999998</v>
      </c>
      <c r="AD156" s="6">
        <f>$O$156*$X$156</f>
        <v>1154.87508</v>
      </c>
      <c r="AE156" s="6">
        <f>$K$156*$Y$156</f>
        <v>0</v>
      </c>
      <c r="AF156" s="6">
        <f ca="1">$M$156*$Z$156</f>
        <v>4934.3400328351108</v>
      </c>
      <c r="AG156" s="6">
        <f>$O$156*$AA$156</f>
        <v>1019.668963897935</v>
      </c>
    </row>
    <row r="157" spans="1:33" ht="11.25" customHeight="1" x14ac:dyDescent="0.25">
      <c r="A157" s="4" t="s">
        <v>21</v>
      </c>
      <c r="B157" s="4" t="s">
        <v>22</v>
      </c>
      <c r="C157" s="4" t="s">
        <v>23</v>
      </c>
      <c r="D157" s="4" t="s">
        <v>24</v>
      </c>
      <c r="E157" s="4" t="s">
        <v>31</v>
      </c>
      <c r="F157" s="4" t="s">
        <v>25</v>
      </c>
      <c r="G157" s="4" t="s">
        <v>25</v>
      </c>
      <c r="H157" s="4" t="s">
        <v>25</v>
      </c>
      <c r="I157" s="5">
        <v>44562</v>
      </c>
      <c r="J157" s="6">
        <v>0</v>
      </c>
      <c r="K157" s="6">
        <v>0</v>
      </c>
      <c r="L157" s="6">
        <v>11.601000000000001</v>
      </c>
      <c r="M157" s="6">
        <v>11.601000000000001</v>
      </c>
      <c r="N157" s="6">
        <v>11.601000000000001</v>
      </c>
      <c r="O157" s="6">
        <v>11.601000000000001</v>
      </c>
      <c r="P157" s="6">
        <v>86</v>
      </c>
      <c r="Q157" s="4" t="s">
        <v>26</v>
      </c>
      <c r="R157" s="4">
        <v>0</v>
      </c>
      <c r="S157" s="6">
        <v>0</v>
      </c>
      <c r="T157" s="6">
        <v>4</v>
      </c>
      <c r="U157" s="6">
        <v>60</v>
      </c>
      <c r="V157" s="6">
        <f>IF(ISERROR(VLOOKUP($S$157,'TAR FIN'!$A$1:$O$86,15,0)),0,VLOOKUP($S$157,'TAR FIN'!$A$1:$O$86,15,0))</f>
        <v>0</v>
      </c>
      <c r="W157" s="6">
        <f>IF(ISERROR(VLOOKUP($T$157,'TAR FIN'!$A$1:$O$86,15,0)),0,VLOOKUP($T$157,'TAR FIN'!$A$1:$O$86,15,0))</f>
        <v>439.1</v>
      </c>
      <c r="X157" s="6">
        <f>IF(ISERROR(VLOOKUP($U$157,'TAR FIN'!$A$1:$O$86,15,0)),0,VLOOKUP($U$157,'TAR FIN'!$A$1:$O$86,15,0))</f>
        <v>118.68</v>
      </c>
      <c r="Y157" s="6"/>
      <c r="Z157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7" s="6">
        <f>('TE BE'!$AB$14+'TE BF'!$AB$14+'TE CVA'!$AB$14)*(1-CUSTOS!$M$36)</f>
        <v>104.78562983228188</v>
      </c>
      <c r="AB157" s="6">
        <f>$K$157*$V$157</f>
        <v>0</v>
      </c>
      <c r="AC157" s="6">
        <f>$M$157*$W$157</f>
        <v>5093.9991000000009</v>
      </c>
      <c r="AD157" s="6">
        <f>$O$157*$X$157</f>
        <v>1376.8066800000001</v>
      </c>
      <c r="AE157" s="6">
        <f>$K$157*$Y$157</f>
        <v>0</v>
      </c>
      <c r="AF157" s="6">
        <f ca="1">$M$157*$Z$157</f>
        <v>5882.5689775891606</v>
      </c>
      <c r="AG157" s="6">
        <f>$O$157*$AA$157</f>
        <v>1215.6180916843023</v>
      </c>
    </row>
    <row r="158" spans="1:33" ht="11.25" customHeight="1" x14ac:dyDescent="0.25">
      <c r="A158" s="4" t="s">
        <v>27</v>
      </c>
      <c r="B158" s="4" t="s">
        <v>22</v>
      </c>
      <c r="C158" s="4" t="s">
        <v>23</v>
      </c>
      <c r="D158" s="4" t="s">
        <v>24</v>
      </c>
      <c r="E158" s="4" t="s">
        <v>31</v>
      </c>
      <c r="F158" s="4" t="s">
        <v>25</v>
      </c>
      <c r="G158" s="4" t="s">
        <v>25</v>
      </c>
      <c r="H158" s="4" t="s">
        <v>25</v>
      </c>
      <c r="I158" s="5">
        <v>44562</v>
      </c>
      <c r="J158" s="6">
        <v>0</v>
      </c>
      <c r="K158" s="6">
        <v>0</v>
      </c>
      <c r="L158" s="6">
        <v>0.02</v>
      </c>
      <c r="M158" s="6">
        <v>0.02</v>
      </c>
      <c r="N158" s="6">
        <v>0.02</v>
      </c>
      <c r="O158" s="6">
        <v>0.02</v>
      </c>
      <c r="P158" s="6">
        <v>0</v>
      </c>
      <c r="Q158" s="4" t="s">
        <v>26</v>
      </c>
      <c r="R158" s="4">
        <v>0</v>
      </c>
      <c r="S158" s="6">
        <v>0</v>
      </c>
      <c r="T158" s="6">
        <v>4</v>
      </c>
      <c r="U158" s="6">
        <v>60</v>
      </c>
      <c r="V158" s="6">
        <f>IF(ISERROR(VLOOKUP($S$158,'TAR FIN'!$A$1:$O$86,15,0)),0,VLOOKUP($S$158,'TAR FIN'!$A$1:$O$86,15,0))</f>
        <v>0</v>
      </c>
      <c r="W158" s="6">
        <f>IF(ISERROR(VLOOKUP($T$158,'TAR FIN'!$A$1:$O$86,15,0)),0,VLOOKUP($T$158,'TAR FIN'!$A$1:$O$86,15,0))</f>
        <v>439.1</v>
      </c>
      <c r="X158" s="6">
        <f>IF(ISERROR(VLOOKUP($U$158,'TAR FIN'!$A$1:$O$86,15,0)),0,VLOOKUP($U$158,'TAR FIN'!$A$1:$O$86,15,0))</f>
        <v>118.68</v>
      </c>
      <c r="Y158" s="6"/>
      <c r="Z158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8" s="6">
        <f>('TE BE'!$AB$14+'TE BF'!$AB$14+'TE CVA'!$AB$14)*(1-CUSTOS!$M$36)</f>
        <v>104.78562983228188</v>
      </c>
      <c r="AB158" s="6">
        <f>$K$158*$V$158</f>
        <v>0</v>
      </c>
      <c r="AC158" s="6">
        <f>$M$158*$W$158</f>
        <v>8.782</v>
      </c>
      <c r="AD158" s="6">
        <f>$O$158*$X$158</f>
        <v>2.3736000000000002</v>
      </c>
      <c r="AE158" s="6">
        <f>$K$158*$Y$158</f>
        <v>0</v>
      </c>
      <c r="AF158" s="6">
        <f ca="1">$M$158*$Z$158</f>
        <v>10.141486040150264</v>
      </c>
      <c r="AG158" s="6">
        <f>$O$158*$AA$158</f>
        <v>2.0957125966456376</v>
      </c>
    </row>
    <row r="159" spans="1:33" ht="11.25" customHeight="1" x14ac:dyDescent="0.25">
      <c r="A159" s="4" t="s">
        <v>21</v>
      </c>
      <c r="B159" s="4" t="s">
        <v>22</v>
      </c>
      <c r="C159" s="4" t="s">
        <v>23</v>
      </c>
      <c r="D159" s="4" t="s">
        <v>24</v>
      </c>
      <c r="E159" s="4" t="s">
        <v>31</v>
      </c>
      <c r="F159" s="4" t="s">
        <v>25</v>
      </c>
      <c r="G159" s="4" t="s">
        <v>25</v>
      </c>
      <c r="H159" s="4" t="s">
        <v>25</v>
      </c>
      <c r="I159" s="5">
        <v>44593</v>
      </c>
      <c r="J159" s="6">
        <v>0</v>
      </c>
      <c r="K159" s="6">
        <v>0</v>
      </c>
      <c r="L159" s="6">
        <v>13.962</v>
      </c>
      <c r="M159" s="6">
        <v>13.962</v>
      </c>
      <c r="N159" s="6">
        <v>13.962</v>
      </c>
      <c r="O159" s="6">
        <v>13.962</v>
      </c>
      <c r="P159" s="6">
        <v>133</v>
      </c>
      <c r="Q159" s="4" t="s">
        <v>26</v>
      </c>
      <c r="R159" s="4">
        <v>0</v>
      </c>
      <c r="S159" s="6">
        <v>0</v>
      </c>
      <c r="T159" s="6">
        <v>4</v>
      </c>
      <c r="U159" s="6">
        <v>60</v>
      </c>
      <c r="V159" s="6">
        <f>IF(ISERROR(VLOOKUP($S$159,'TAR FIN'!$A$1:$O$86,15,0)),0,VLOOKUP($S$159,'TAR FIN'!$A$1:$O$86,15,0))</f>
        <v>0</v>
      </c>
      <c r="W159" s="6">
        <f>IF(ISERROR(VLOOKUP($T$159,'TAR FIN'!$A$1:$O$86,15,0)),0,VLOOKUP($T$159,'TAR FIN'!$A$1:$O$86,15,0))</f>
        <v>439.1</v>
      </c>
      <c r="X159" s="6">
        <f>IF(ISERROR(VLOOKUP($U$159,'TAR FIN'!$A$1:$O$86,15,0)),0,VLOOKUP($U$159,'TAR FIN'!$A$1:$O$86,15,0))</f>
        <v>118.68</v>
      </c>
      <c r="Y159" s="6"/>
      <c r="Z159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59" s="6">
        <f>('TE BE'!$AB$14+'TE BF'!$AB$14+'TE CVA'!$AB$14)*(1-CUSTOS!$M$36)</f>
        <v>104.78562983228188</v>
      </c>
      <c r="AB159" s="6">
        <f>$K$159*$V$159</f>
        <v>0</v>
      </c>
      <c r="AC159" s="6">
        <f>$M$159*$W$159</f>
        <v>6130.7142000000003</v>
      </c>
      <c r="AD159" s="6">
        <f>$O$159*$X$159</f>
        <v>1657.01016</v>
      </c>
      <c r="AE159" s="6">
        <f>$K$159*$Y$159</f>
        <v>0</v>
      </c>
      <c r="AF159" s="6">
        <f ca="1">$M$159*$Z$159</f>
        <v>7079.7714046288984</v>
      </c>
      <c r="AG159" s="6">
        <f>$O$159*$AA$159</f>
        <v>1463.0169637183196</v>
      </c>
    </row>
    <row r="160" spans="1:33" ht="11.25" customHeight="1" x14ac:dyDescent="0.25">
      <c r="A160" s="4" t="s">
        <v>21</v>
      </c>
      <c r="B160" s="4" t="s">
        <v>22</v>
      </c>
      <c r="C160" s="4" t="s">
        <v>23</v>
      </c>
      <c r="D160" s="4" t="s">
        <v>24</v>
      </c>
      <c r="E160" s="4" t="s">
        <v>31</v>
      </c>
      <c r="F160" s="4" t="s">
        <v>25</v>
      </c>
      <c r="G160" s="4" t="s">
        <v>25</v>
      </c>
      <c r="H160" s="4" t="s">
        <v>25</v>
      </c>
      <c r="I160" s="5">
        <v>44621</v>
      </c>
      <c r="J160" s="6">
        <v>0</v>
      </c>
      <c r="K160" s="6">
        <v>0</v>
      </c>
      <c r="L160" s="6">
        <v>21.436</v>
      </c>
      <c r="M160" s="6">
        <v>21.436</v>
      </c>
      <c r="N160" s="6">
        <v>21.436</v>
      </c>
      <c r="O160" s="6">
        <v>21.436</v>
      </c>
      <c r="P160" s="6">
        <v>232</v>
      </c>
      <c r="Q160" s="4" t="s">
        <v>26</v>
      </c>
      <c r="R160" s="4">
        <v>0</v>
      </c>
      <c r="S160" s="6">
        <v>0</v>
      </c>
      <c r="T160" s="6">
        <v>4</v>
      </c>
      <c r="U160" s="6">
        <v>60</v>
      </c>
      <c r="V160" s="6">
        <f>IF(ISERROR(VLOOKUP($S$160,'TAR FIN'!$A$1:$O$86,15,0)),0,VLOOKUP($S$160,'TAR FIN'!$A$1:$O$86,15,0))</f>
        <v>0</v>
      </c>
      <c r="W160" s="6">
        <f>IF(ISERROR(VLOOKUP($T$160,'TAR FIN'!$A$1:$O$86,15,0)),0,VLOOKUP($T$160,'TAR FIN'!$A$1:$O$86,15,0))</f>
        <v>439.1</v>
      </c>
      <c r="X160" s="6">
        <f>IF(ISERROR(VLOOKUP($U$160,'TAR FIN'!$A$1:$O$86,15,0)),0,VLOOKUP($U$160,'TAR FIN'!$A$1:$O$86,15,0))</f>
        <v>118.68</v>
      </c>
      <c r="Y160" s="6"/>
      <c r="Z160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60" s="6">
        <f>('TE BE'!$AB$14+'TE BF'!$AB$14+'TE CVA'!$AB$14)*(1-CUSTOS!$M$36)</f>
        <v>104.78562983228188</v>
      </c>
      <c r="AB160" s="6">
        <f>$K$160*$V$160</f>
        <v>0</v>
      </c>
      <c r="AC160" s="6">
        <f>$M$160*$W$160</f>
        <v>9412.5475999999999</v>
      </c>
      <c r="AD160" s="6">
        <f>$O$160*$X$160</f>
        <v>2544.02448</v>
      </c>
      <c r="AE160" s="6">
        <f>$K$160*$Y$160</f>
        <v>0</v>
      </c>
      <c r="AF160" s="6">
        <f ca="1">$M$160*$Z$160</f>
        <v>10869.644737833052</v>
      </c>
      <c r="AG160" s="6">
        <f>$O$160*$AA$160</f>
        <v>2246.1847610847944</v>
      </c>
    </row>
    <row r="161" spans="1:33" ht="11.25" customHeight="1" x14ac:dyDescent="0.25">
      <c r="A161" s="4" t="s">
        <v>21</v>
      </c>
      <c r="B161" s="4" t="s">
        <v>22</v>
      </c>
      <c r="C161" s="4" t="s">
        <v>23</v>
      </c>
      <c r="D161" s="4" t="s">
        <v>24</v>
      </c>
      <c r="E161" s="4" t="s">
        <v>31</v>
      </c>
      <c r="F161" s="4" t="s">
        <v>25</v>
      </c>
      <c r="G161" s="4" t="s">
        <v>25</v>
      </c>
      <c r="H161" s="4" t="s">
        <v>25</v>
      </c>
      <c r="I161" s="5">
        <v>44652</v>
      </c>
      <c r="J161" s="6">
        <v>0</v>
      </c>
      <c r="K161" s="6">
        <v>0</v>
      </c>
      <c r="L161" s="6">
        <v>33.137999999999998</v>
      </c>
      <c r="M161" s="6">
        <v>33.137999999999998</v>
      </c>
      <c r="N161" s="6">
        <v>33.137999999999998</v>
      </c>
      <c r="O161" s="6">
        <v>33.137999999999998</v>
      </c>
      <c r="P161" s="6">
        <v>309</v>
      </c>
      <c r="Q161" s="4" t="s">
        <v>26</v>
      </c>
      <c r="R161" s="4">
        <v>0</v>
      </c>
      <c r="S161" s="6">
        <v>0</v>
      </c>
      <c r="T161" s="6">
        <v>4</v>
      </c>
      <c r="U161" s="6">
        <v>60</v>
      </c>
      <c r="V161" s="6">
        <f>IF(ISERROR(VLOOKUP($S$161,'TAR FIN'!$A$1:$O$86,15,0)),0,VLOOKUP($S$161,'TAR FIN'!$A$1:$O$86,15,0))</f>
        <v>0</v>
      </c>
      <c r="W161" s="6">
        <f>IF(ISERROR(VLOOKUP($T$161,'TAR FIN'!$A$1:$O$86,15,0)),0,VLOOKUP($T$161,'TAR FIN'!$A$1:$O$86,15,0))</f>
        <v>439.1</v>
      </c>
      <c r="X161" s="6">
        <f>IF(ISERROR(VLOOKUP($U$161,'TAR FIN'!$A$1:$O$86,15,0)),0,VLOOKUP($U$161,'TAR FIN'!$A$1:$O$86,15,0))</f>
        <v>118.68</v>
      </c>
      <c r="Y161" s="6"/>
      <c r="Z161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61" s="6">
        <f>('TE BE'!$AB$14+'TE BF'!$AB$14+'TE CVA'!$AB$14)*(1-CUSTOS!$M$36)</f>
        <v>104.78562983228188</v>
      </c>
      <c r="AB161" s="6">
        <f>$K$161*$V$161</f>
        <v>0</v>
      </c>
      <c r="AC161" s="6">
        <f>$M$161*$W$161</f>
        <v>14550.8958</v>
      </c>
      <c r="AD161" s="6">
        <f>$O$161*$X$161</f>
        <v>3932.8178400000002</v>
      </c>
      <c r="AE161" s="6">
        <f>$K$161*$Y$161</f>
        <v>0</v>
      </c>
      <c r="AF161" s="6">
        <f ca="1">$M$161*$Z$161</f>
        <v>16803.428219924968</v>
      </c>
      <c r="AG161" s="6">
        <f>$O$161*$AA$161</f>
        <v>3472.3862013821567</v>
      </c>
    </row>
    <row r="162" spans="1:33" ht="11.25" customHeight="1" x14ac:dyDescent="0.25">
      <c r="A162" s="4" t="s">
        <v>21</v>
      </c>
      <c r="B162" s="4" t="s">
        <v>22</v>
      </c>
      <c r="C162" s="4" t="s">
        <v>23</v>
      </c>
      <c r="D162" s="4" t="s">
        <v>24</v>
      </c>
      <c r="E162" s="4" t="s">
        <v>31</v>
      </c>
      <c r="F162" s="4" t="s">
        <v>25</v>
      </c>
      <c r="G162" s="4" t="s">
        <v>25</v>
      </c>
      <c r="H162" s="4" t="s">
        <v>25</v>
      </c>
      <c r="I162" s="5">
        <v>44682</v>
      </c>
      <c r="J162" s="6">
        <v>0</v>
      </c>
      <c r="K162" s="6">
        <v>0</v>
      </c>
      <c r="L162" s="6">
        <v>32.121000000000002</v>
      </c>
      <c r="M162" s="6">
        <v>32.121000000000002</v>
      </c>
      <c r="N162" s="6">
        <v>32.121000000000002</v>
      </c>
      <c r="O162" s="6">
        <v>32.121000000000002</v>
      </c>
      <c r="P162" s="6">
        <v>333</v>
      </c>
      <c r="Q162" s="4" t="s">
        <v>26</v>
      </c>
      <c r="R162" s="4">
        <v>0</v>
      </c>
      <c r="S162" s="6">
        <v>0</v>
      </c>
      <c r="T162" s="6">
        <v>4</v>
      </c>
      <c r="U162" s="6">
        <v>60</v>
      </c>
      <c r="V162" s="6">
        <f>IF(ISERROR(VLOOKUP($S$162,'TAR FIN'!$A$1:$O$86,15,0)),0,VLOOKUP($S$162,'TAR FIN'!$A$1:$O$86,15,0))</f>
        <v>0</v>
      </c>
      <c r="W162" s="6">
        <f>IF(ISERROR(VLOOKUP($T$162,'TAR FIN'!$A$1:$O$86,15,0)),0,VLOOKUP($T$162,'TAR FIN'!$A$1:$O$86,15,0))</f>
        <v>439.1</v>
      </c>
      <c r="X162" s="6">
        <f>IF(ISERROR(VLOOKUP($U$162,'TAR FIN'!$A$1:$O$86,15,0)),0,VLOOKUP($U$162,'TAR FIN'!$A$1:$O$86,15,0))</f>
        <v>118.68</v>
      </c>
      <c r="Y162" s="6"/>
      <c r="Z162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62" s="6">
        <f>('TE BE'!$AB$14+'TE BF'!$AB$14+'TE CVA'!$AB$14)*(1-CUSTOS!$M$36)</f>
        <v>104.78562983228188</v>
      </c>
      <c r="AB162" s="6">
        <f>$K$162*$V$162</f>
        <v>0</v>
      </c>
      <c r="AC162" s="6">
        <f>$M$162*$W$162</f>
        <v>14104.331100000001</v>
      </c>
      <c r="AD162" s="6">
        <f>$O$162*$X$162</f>
        <v>3812.1202800000005</v>
      </c>
      <c r="AE162" s="6">
        <f>$K$162*$Y$162</f>
        <v>0</v>
      </c>
      <c r="AF162" s="6">
        <f ca="1">$M$162*$Z$162</f>
        <v>16287.733654783331</v>
      </c>
      <c r="AG162" s="6">
        <f>$O$162*$AA$162</f>
        <v>3365.8192158427269</v>
      </c>
    </row>
    <row r="163" spans="1:33" ht="11.25" customHeight="1" x14ac:dyDescent="0.25">
      <c r="A163" s="4" t="s">
        <v>21</v>
      </c>
      <c r="B163" s="4" t="s">
        <v>22</v>
      </c>
      <c r="C163" s="4" t="s">
        <v>23</v>
      </c>
      <c r="D163" s="4" t="s">
        <v>24</v>
      </c>
      <c r="E163" s="4" t="s">
        <v>31</v>
      </c>
      <c r="F163" s="4" t="s">
        <v>25</v>
      </c>
      <c r="G163" s="4" t="s">
        <v>25</v>
      </c>
      <c r="H163" s="4" t="s">
        <v>25</v>
      </c>
      <c r="I163" s="5">
        <v>44713</v>
      </c>
      <c r="J163" s="6">
        <v>0</v>
      </c>
      <c r="K163" s="6">
        <v>0</v>
      </c>
      <c r="L163" s="6">
        <v>36.084000000000003</v>
      </c>
      <c r="M163" s="6">
        <v>36.084000000000003</v>
      </c>
      <c r="N163" s="6">
        <v>36.084000000000003</v>
      </c>
      <c r="O163" s="6">
        <v>36.084000000000003</v>
      </c>
      <c r="P163" s="6">
        <v>329</v>
      </c>
      <c r="Q163" s="4" t="s">
        <v>26</v>
      </c>
      <c r="R163" s="4">
        <v>0</v>
      </c>
      <c r="S163" s="6">
        <v>0</v>
      </c>
      <c r="T163" s="6">
        <v>4</v>
      </c>
      <c r="U163" s="6">
        <v>60</v>
      </c>
      <c r="V163" s="6">
        <f>IF(ISERROR(VLOOKUP($S$163,'TAR FIN'!$A$1:$O$86,15,0)),0,VLOOKUP($S$163,'TAR FIN'!$A$1:$O$86,15,0))</f>
        <v>0</v>
      </c>
      <c r="W163" s="6">
        <f>IF(ISERROR(VLOOKUP($T$163,'TAR FIN'!$A$1:$O$86,15,0)),0,VLOOKUP($T$163,'TAR FIN'!$A$1:$O$86,15,0))</f>
        <v>439.1</v>
      </c>
      <c r="X163" s="6">
        <f>IF(ISERROR(VLOOKUP($U$163,'TAR FIN'!$A$1:$O$86,15,0)),0,VLOOKUP($U$163,'TAR FIN'!$A$1:$O$86,15,0))</f>
        <v>118.68</v>
      </c>
      <c r="Y163" s="6"/>
      <c r="Z163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163" s="6">
        <f>('TE BE'!$AB$14+'TE BF'!$AB$14+'TE CVA'!$AB$14)*(1-CUSTOS!$M$36)</f>
        <v>104.78562983228188</v>
      </c>
      <c r="AB163" s="6">
        <f>$K$163*$V$163</f>
        <v>0</v>
      </c>
      <c r="AC163" s="6">
        <f>$M$163*$W$163</f>
        <v>15844.484400000003</v>
      </c>
      <c r="AD163" s="6">
        <f>$O$163*$X$163</f>
        <v>4282.4491200000002</v>
      </c>
      <c r="AE163" s="6">
        <f>$K$163*$Y$163</f>
        <v>0</v>
      </c>
      <c r="AF163" s="6">
        <f ca="1">$M$163*$Z$163</f>
        <v>18297.269113639108</v>
      </c>
      <c r="AG163" s="6">
        <f>$O$163*$AA$163</f>
        <v>3781.0846668680597</v>
      </c>
    </row>
    <row r="164" spans="1:33" ht="11.25" customHeight="1" x14ac:dyDescent="0.25">
      <c r="A164" s="4" t="s">
        <v>21</v>
      </c>
      <c r="B164" s="4" t="s">
        <v>22</v>
      </c>
      <c r="C164" s="4" t="s">
        <v>23</v>
      </c>
      <c r="D164" s="4" t="s">
        <v>24</v>
      </c>
      <c r="E164" s="4" t="s">
        <v>32</v>
      </c>
      <c r="F164" s="4" t="s">
        <v>25</v>
      </c>
      <c r="G164" s="4" t="s">
        <v>25</v>
      </c>
      <c r="H164" s="4" t="s">
        <v>25</v>
      </c>
      <c r="I164" s="5">
        <v>44378</v>
      </c>
      <c r="J164" s="6">
        <v>0</v>
      </c>
      <c r="K164" s="6">
        <v>0</v>
      </c>
      <c r="L164" s="6">
        <v>2.835</v>
      </c>
      <c r="M164" s="6">
        <v>2.835</v>
      </c>
      <c r="N164" s="6">
        <v>2.835</v>
      </c>
      <c r="O164" s="6">
        <v>2.835</v>
      </c>
      <c r="P164" s="6">
        <v>39</v>
      </c>
      <c r="Q164" s="4" t="s">
        <v>26</v>
      </c>
      <c r="R164" s="4">
        <v>0</v>
      </c>
      <c r="S164" s="6">
        <v>0</v>
      </c>
      <c r="T164" s="6">
        <v>43</v>
      </c>
      <c r="U164" s="6">
        <v>66</v>
      </c>
      <c r="V164" s="6">
        <f>IF(ISERROR(VLOOKUP($S$164,'TAR FIN'!$A$1:$O$86,15,0)),0,VLOOKUP($S$164,'TAR FIN'!$A$1:$O$86,15,0))</f>
        <v>0</v>
      </c>
      <c r="W164" s="6">
        <f>IF(ISERROR(VLOOKUP($T$164,'TAR FIN'!$A$1:$O$86,15,0)),0,VLOOKUP($T$164,'TAR FIN'!$A$1:$O$86,15,0))</f>
        <v>487.89</v>
      </c>
      <c r="X164" s="6">
        <f>IF(ISERROR(VLOOKUP($U$164,'TAR FIN'!$A$1:$O$86,15,0)),0,VLOOKUP($U$164,'TAR FIN'!$A$1:$O$86,15,0))</f>
        <v>131.87</v>
      </c>
      <c r="Y164" s="6"/>
      <c r="Z164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4" s="6">
        <f>('TE BE'!$AB$15+'TE BF'!$AB$15+'TE CVA'!$AB$15)*(1-CUSTOS!$M$37)</f>
        <v>116.42847759142431</v>
      </c>
      <c r="AB164" s="6">
        <f>$K$164*$V$164</f>
        <v>0</v>
      </c>
      <c r="AC164" s="6">
        <f>$M$164*$W$164</f>
        <v>1383.16815</v>
      </c>
      <c r="AD164" s="6">
        <f>$O$164*$X$164</f>
        <v>373.85145</v>
      </c>
      <c r="AE164" s="6">
        <f>$K$164*$Y$164</f>
        <v>0</v>
      </c>
      <c r="AF164" s="6">
        <f ca="1">$M$164*$Z$164</f>
        <v>1597.2840513236663</v>
      </c>
      <c r="AG164" s="6">
        <f>$O$164*$AA$164</f>
        <v>330.07473397168792</v>
      </c>
    </row>
    <row r="165" spans="1:33" ht="11.25" customHeight="1" x14ac:dyDescent="0.25">
      <c r="A165" s="4" t="s">
        <v>21</v>
      </c>
      <c r="B165" s="4" t="s">
        <v>22</v>
      </c>
      <c r="C165" s="4" t="s">
        <v>23</v>
      </c>
      <c r="D165" s="4" t="s">
        <v>24</v>
      </c>
      <c r="E165" s="4" t="s">
        <v>32</v>
      </c>
      <c r="F165" s="4" t="s">
        <v>25</v>
      </c>
      <c r="G165" s="4" t="s">
        <v>25</v>
      </c>
      <c r="H165" s="4" t="s">
        <v>25</v>
      </c>
      <c r="I165" s="5">
        <v>44409</v>
      </c>
      <c r="J165" s="6">
        <v>0</v>
      </c>
      <c r="K165" s="6">
        <v>0</v>
      </c>
      <c r="L165" s="6">
        <v>3.5529999999999999</v>
      </c>
      <c r="M165" s="6">
        <v>3.5529999999999999</v>
      </c>
      <c r="N165" s="6">
        <v>3.5529999999999999</v>
      </c>
      <c r="O165" s="6">
        <v>3.5529999999999999</v>
      </c>
      <c r="P165" s="6">
        <v>44</v>
      </c>
      <c r="Q165" s="4" t="s">
        <v>26</v>
      </c>
      <c r="R165" s="4">
        <v>0</v>
      </c>
      <c r="S165" s="6">
        <v>0</v>
      </c>
      <c r="T165" s="6">
        <v>43</v>
      </c>
      <c r="U165" s="6">
        <v>66</v>
      </c>
      <c r="V165" s="6">
        <f>IF(ISERROR(VLOOKUP($S$165,'TAR FIN'!$A$1:$O$86,15,0)),0,VLOOKUP($S$165,'TAR FIN'!$A$1:$O$86,15,0))</f>
        <v>0</v>
      </c>
      <c r="W165" s="6">
        <f>IF(ISERROR(VLOOKUP($T$165,'TAR FIN'!$A$1:$O$86,15,0)),0,VLOOKUP($T$165,'TAR FIN'!$A$1:$O$86,15,0))</f>
        <v>487.89</v>
      </c>
      <c r="X165" s="6">
        <f>IF(ISERROR(VLOOKUP($U$165,'TAR FIN'!$A$1:$O$86,15,0)),0,VLOOKUP($U$165,'TAR FIN'!$A$1:$O$86,15,0))</f>
        <v>131.87</v>
      </c>
      <c r="Y165" s="6"/>
      <c r="Z165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5" s="6">
        <f>('TE BE'!$AB$15+'TE BF'!$AB$15+'TE CVA'!$AB$15)*(1-CUSTOS!$M$37)</f>
        <v>116.42847759142431</v>
      </c>
      <c r="AB165" s="6">
        <f>$K$165*$V$165</f>
        <v>0</v>
      </c>
      <c r="AC165" s="6">
        <f>$M$165*$W$165</f>
        <v>1733.47317</v>
      </c>
      <c r="AD165" s="6">
        <f>$O$165*$X$165</f>
        <v>468.53411</v>
      </c>
      <c r="AE165" s="6">
        <f>$K$165*$Y$165</f>
        <v>0</v>
      </c>
      <c r="AF165" s="6">
        <f ca="1">$M$165*$Z$165</f>
        <v>2001.816661147438</v>
      </c>
      <c r="AG165" s="6">
        <f>$O$165*$AA$165</f>
        <v>413.67038088233056</v>
      </c>
    </row>
    <row r="166" spans="1:33" ht="11.25" customHeight="1" x14ac:dyDescent="0.25">
      <c r="A166" s="4" t="s">
        <v>21</v>
      </c>
      <c r="B166" s="4" t="s">
        <v>22</v>
      </c>
      <c r="C166" s="4" t="s">
        <v>23</v>
      </c>
      <c r="D166" s="4" t="s">
        <v>24</v>
      </c>
      <c r="E166" s="4" t="s">
        <v>32</v>
      </c>
      <c r="F166" s="4" t="s">
        <v>25</v>
      </c>
      <c r="G166" s="4" t="s">
        <v>25</v>
      </c>
      <c r="H166" s="4" t="s">
        <v>25</v>
      </c>
      <c r="I166" s="5">
        <v>44440</v>
      </c>
      <c r="J166" s="6">
        <v>0</v>
      </c>
      <c r="K166" s="6">
        <v>0</v>
      </c>
      <c r="L166" s="6">
        <v>2.9350000000000001</v>
      </c>
      <c r="M166" s="6">
        <v>2.9350000000000001</v>
      </c>
      <c r="N166" s="6">
        <v>2.9350000000000001</v>
      </c>
      <c r="O166" s="6">
        <v>2.9350000000000001</v>
      </c>
      <c r="P166" s="6">
        <v>41</v>
      </c>
      <c r="Q166" s="4" t="s">
        <v>26</v>
      </c>
      <c r="R166" s="4">
        <v>0</v>
      </c>
      <c r="S166" s="6">
        <v>0</v>
      </c>
      <c r="T166" s="6">
        <v>43</v>
      </c>
      <c r="U166" s="6">
        <v>66</v>
      </c>
      <c r="V166" s="6">
        <f>IF(ISERROR(VLOOKUP($S$166,'TAR FIN'!$A$1:$O$86,15,0)),0,VLOOKUP($S$166,'TAR FIN'!$A$1:$O$86,15,0))</f>
        <v>0</v>
      </c>
      <c r="W166" s="6">
        <f>IF(ISERROR(VLOOKUP($T$166,'TAR FIN'!$A$1:$O$86,15,0)),0,VLOOKUP($T$166,'TAR FIN'!$A$1:$O$86,15,0))</f>
        <v>487.89</v>
      </c>
      <c r="X166" s="6">
        <f>IF(ISERROR(VLOOKUP($U$166,'TAR FIN'!$A$1:$O$86,15,0)),0,VLOOKUP($U$166,'TAR FIN'!$A$1:$O$86,15,0))</f>
        <v>131.87</v>
      </c>
      <c r="Y166" s="6"/>
      <c r="Z166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6" s="6">
        <f>('TE BE'!$AB$15+'TE BF'!$AB$15+'TE CVA'!$AB$15)*(1-CUSTOS!$M$37)</f>
        <v>116.42847759142431</v>
      </c>
      <c r="AB166" s="6">
        <f>$K$166*$V$166</f>
        <v>0</v>
      </c>
      <c r="AC166" s="6">
        <f>$M$166*$W$166</f>
        <v>1431.95715</v>
      </c>
      <c r="AD166" s="6">
        <f>$O$166*$X$166</f>
        <v>387.03845000000001</v>
      </c>
      <c r="AE166" s="6">
        <f>$K$166*$Y$166</f>
        <v>0</v>
      </c>
      <c r="AF166" s="6">
        <f ca="1">$M$166*$Z$166</f>
        <v>1653.6256404356122</v>
      </c>
      <c r="AG166" s="6">
        <f>$O$166*$AA$166</f>
        <v>341.71758173083037</v>
      </c>
    </row>
    <row r="167" spans="1:33" ht="11.25" customHeight="1" x14ac:dyDescent="0.25">
      <c r="A167" s="4" t="s">
        <v>21</v>
      </c>
      <c r="B167" s="4" t="s">
        <v>22</v>
      </c>
      <c r="C167" s="4" t="s">
        <v>23</v>
      </c>
      <c r="D167" s="4" t="s">
        <v>24</v>
      </c>
      <c r="E167" s="4" t="s">
        <v>32</v>
      </c>
      <c r="F167" s="4" t="s">
        <v>25</v>
      </c>
      <c r="G167" s="4" t="s">
        <v>25</v>
      </c>
      <c r="H167" s="4" t="s">
        <v>25</v>
      </c>
      <c r="I167" s="5">
        <v>44470</v>
      </c>
      <c r="J167" s="6">
        <v>0</v>
      </c>
      <c r="K167" s="6">
        <v>0</v>
      </c>
      <c r="L167" s="6">
        <v>3.6389999999999998</v>
      </c>
      <c r="M167" s="6">
        <v>3.6389999999999998</v>
      </c>
      <c r="N167" s="6">
        <v>3.6389999999999998</v>
      </c>
      <c r="O167" s="6">
        <v>3.6389999999999998</v>
      </c>
      <c r="P167" s="6">
        <v>43</v>
      </c>
      <c r="Q167" s="4" t="s">
        <v>26</v>
      </c>
      <c r="R167" s="4">
        <v>0</v>
      </c>
      <c r="S167" s="6">
        <v>0</v>
      </c>
      <c r="T167" s="6">
        <v>43</v>
      </c>
      <c r="U167" s="6">
        <v>66</v>
      </c>
      <c r="V167" s="6">
        <f>IF(ISERROR(VLOOKUP($S$167,'TAR FIN'!$A$1:$O$86,15,0)),0,VLOOKUP($S$167,'TAR FIN'!$A$1:$O$86,15,0))</f>
        <v>0</v>
      </c>
      <c r="W167" s="6">
        <f>IF(ISERROR(VLOOKUP($T$167,'TAR FIN'!$A$1:$O$86,15,0)),0,VLOOKUP($T$167,'TAR FIN'!$A$1:$O$86,15,0))</f>
        <v>487.89</v>
      </c>
      <c r="X167" s="6">
        <f>IF(ISERROR(VLOOKUP($U$167,'TAR FIN'!$A$1:$O$86,15,0)),0,VLOOKUP($U$167,'TAR FIN'!$A$1:$O$86,15,0))</f>
        <v>131.87</v>
      </c>
      <c r="Y167" s="6"/>
      <c r="Z167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7" s="6">
        <f>('TE BE'!$AB$15+'TE BF'!$AB$15+'TE CVA'!$AB$15)*(1-CUSTOS!$M$37)</f>
        <v>116.42847759142431</v>
      </c>
      <c r="AB167" s="6">
        <f>$K$167*$V$167</f>
        <v>0</v>
      </c>
      <c r="AC167" s="6">
        <f>$M$167*$W$167</f>
        <v>1775.4317099999998</v>
      </c>
      <c r="AD167" s="6">
        <f>$O$167*$X$167</f>
        <v>479.87493000000001</v>
      </c>
      <c r="AE167" s="6">
        <f>$K$167*$Y$167</f>
        <v>0</v>
      </c>
      <c r="AF167" s="6">
        <f ca="1">$M$167*$Z$167</f>
        <v>2050.2704277837115</v>
      </c>
      <c r="AG167" s="6">
        <f>$O$167*$AA$167</f>
        <v>423.68322995519304</v>
      </c>
    </row>
    <row r="168" spans="1:33" ht="11.25" customHeight="1" x14ac:dyDescent="0.25">
      <c r="A168" s="4" t="s">
        <v>21</v>
      </c>
      <c r="B168" s="4" t="s">
        <v>22</v>
      </c>
      <c r="C168" s="4" t="s">
        <v>23</v>
      </c>
      <c r="D168" s="4" t="s">
        <v>24</v>
      </c>
      <c r="E168" s="4" t="s">
        <v>32</v>
      </c>
      <c r="F168" s="4" t="s">
        <v>25</v>
      </c>
      <c r="G168" s="4" t="s">
        <v>25</v>
      </c>
      <c r="H168" s="4" t="s">
        <v>25</v>
      </c>
      <c r="I168" s="5">
        <v>44501</v>
      </c>
      <c r="J168" s="6">
        <v>0</v>
      </c>
      <c r="K168" s="6">
        <v>0</v>
      </c>
      <c r="L168" s="6">
        <v>3.077</v>
      </c>
      <c r="M168" s="6">
        <v>3.077</v>
      </c>
      <c r="N168" s="6">
        <v>3.077</v>
      </c>
      <c r="O168" s="6">
        <v>3.077</v>
      </c>
      <c r="P168" s="6">
        <v>42</v>
      </c>
      <c r="Q168" s="4" t="s">
        <v>26</v>
      </c>
      <c r="R168" s="4">
        <v>0</v>
      </c>
      <c r="S168" s="6">
        <v>0</v>
      </c>
      <c r="T168" s="6">
        <v>43</v>
      </c>
      <c r="U168" s="6">
        <v>66</v>
      </c>
      <c r="V168" s="6">
        <f>IF(ISERROR(VLOOKUP($S$168,'TAR FIN'!$A$1:$O$86,15,0)),0,VLOOKUP($S$168,'TAR FIN'!$A$1:$O$86,15,0))</f>
        <v>0</v>
      </c>
      <c r="W168" s="6">
        <f>IF(ISERROR(VLOOKUP($T$168,'TAR FIN'!$A$1:$O$86,15,0)),0,VLOOKUP($T$168,'TAR FIN'!$A$1:$O$86,15,0))</f>
        <v>487.89</v>
      </c>
      <c r="X168" s="6">
        <f>IF(ISERROR(VLOOKUP($U$168,'TAR FIN'!$A$1:$O$86,15,0)),0,VLOOKUP($U$168,'TAR FIN'!$A$1:$O$86,15,0))</f>
        <v>131.87</v>
      </c>
      <c r="Y168" s="6"/>
      <c r="Z168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8" s="6">
        <f>('TE BE'!$AB$15+'TE BF'!$AB$15+'TE CVA'!$AB$15)*(1-CUSTOS!$M$37)</f>
        <v>116.42847759142431</v>
      </c>
      <c r="AB168" s="6">
        <f>$K$168*$V$168</f>
        <v>0</v>
      </c>
      <c r="AC168" s="6">
        <f>$M$168*$W$168</f>
        <v>1501.2375299999999</v>
      </c>
      <c r="AD168" s="6">
        <f>$O$168*$X$168</f>
        <v>405.76399000000004</v>
      </c>
      <c r="AE168" s="6">
        <f>$K$168*$Y$168</f>
        <v>0</v>
      </c>
      <c r="AF168" s="6">
        <f ca="1">$M$168*$Z$168</f>
        <v>1733.6306969745754</v>
      </c>
      <c r="AG168" s="6">
        <f>$O$168*$AA$168</f>
        <v>358.25042554881259</v>
      </c>
    </row>
    <row r="169" spans="1:33" ht="11.25" customHeight="1" x14ac:dyDescent="0.25">
      <c r="A169" s="4" t="s">
        <v>21</v>
      </c>
      <c r="B169" s="4" t="s">
        <v>22</v>
      </c>
      <c r="C169" s="4" t="s">
        <v>23</v>
      </c>
      <c r="D169" s="4" t="s">
        <v>24</v>
      </c>
      <c r="E169" s="4" t="s">
        <v>32</v>
      </c>
      <c r="F169" s="4" t="s">
        <v>25</v>
      </c>
      <c r="G169" s="4" t="s">
        <v>25</v>
      </c>
      <c r="H169" s="4" t="s">
        <v>25</v>
      </c>
      <c r="I169" s="5">
        <v>44531</v>
      </c>
      <c r="J169" s="6">
        <v>0</v>
      </c>
      <c r="K169" s="6">
        <v>0</v>
      </c>
      <c r="L169" s="6">
        <v>2.1669999999999998</v>
      </c>
      <c r="M169" s="6">
        <v>2.1669999999999998</v>
      </c>
      <c r="N169" s="6">
        <v>2.1669999999999998</v>
      </c>
      <c r="O169" s="6">
        <v>2.1669999999999998</v>
      </c>
      <c r="P169" s="6">
        <v>30</v>
      </c>
      <c r="Q169" s="4" t="s">
        <v>26</v>
      </c>
      <c r="R169" s="4">
        <v>0</v>
      </c>
      <c r="S169" s="6">
        <v>0</v>
      </c>
      <c r="T169" s="6">
        <v>43</v>
      </c>
      <c r="U169" s="6">
        <v>66</v>
      </c>
      <c r="V169" s="6">
        <f>IF(ISERROR(VLOOKUP($S$169,'TAR FIN'!$A$1:$O$86,15,0)),0,VLOOKUP($S$169,'TAR FIN'!$A$1:$O$86,15,0))</f>
        <v>0</v>
      </c>
      <c r="W169" s="6">
        <f>IF(ISERROR(VLOOKUP($T$169,'TAR FIN'!$A$1:$O$86,15,0)),0,VLOOKUP($T$169,'TAR FIN'!$A$1:$O$86,15,0))</f>
        <v>487.89</v>
      </c>
      <c r="X169" s="6">
        <f>IF(ISERROR(VLOOKUP($U$169,'TAR FIN'!$A$1:$O$86,15,0)),0,VLOOKUP($U$169,'TAR FIN'!$A$1:$O$86,15,0))</f>
        <v>131.87</v>
      </c>
      <c r="Y169" s="6"/>
      <c r="Z169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69" s="6">
        <f>('TE BE'!$AB$15+'TE BF'!$AB$15+'TE CVA'!$AB$15)*(1-CUSTOS!$M$37)</f>
        <v>116.42847759142431</v>
      </c>
      <c r="AB169" s="6">
        <f>$K$169*$V$169</f>
        <v>0</v>
      </c>
      <c r="AC169" s="6">
        <f>$M$169*$W$169</f>
        <v>1057.2576299999998</v>
      </c>
      <c r="AD169" s="6">
        <f>$O$169*$X$169</f>
        <v>285.76229000000001</v>
      </c>
      <c r="AE169" s="6">
        <f>$K$169*$Y$169</f>
        <v>0</v>
      </c>
      <c r="AF169" s="6">
        <f ca="1">$M$169*$Z$169</f>
        <v>1220.9222360558676</v>
      </c>
      <c r="AG169" s="6">
        <f>$O$169*$AA$169</f>
        <v>252.30051094061645</v>
      </c>
    </row>
    <row r="170" spans="1:33" ht="11.25" customHeight="1" x14ac:dyDescent="0.25">
      <c r="A170" s="4" t="s">
        <v>21</v>
      </c>
      <c r="B170" s="4" t="s">
        <v>22</v>
      </c>
      <c r="C170" s="4" t="s">
        <v>23</v>
      </c>
      <c r="D170" s="4" t="s">
        <v>24</v>
      </c>
      <c r="E170" s="4" t="s">
        <v>32</v>
      </c>
      <c r="F170" s="4" t="s">
        <v>25</v>
      </c>
      <c r="G170" s="4" t="s">
        <v>25</v>
      </c>
      <c r="H170" s="4" t="s">
        <v>25</v>
      </c>
      <c r="I170" s="5">
        <v>44562</v>
      </c>
      <c r="J170" s="6">
        <v>0</v>
      </c>
      <c r="K170" s="6">
        <v>0</v>
      </c>
      <c r="L170" s="6">
        <v>3.621</v>
      </c>
      <c r="M170" s="6">
        <v>3.621</v>
      </c>
      <c r="N170" s="6">
        <v>3.621</v>
      </c>
      <c r="O170" s="6">
        <v>3.621</v>
      </c>
      <c r="P170" s="6">
        <v>51</v>
      </c>
      <c r="Q170" s="4" t="s">
        <v>26</v>
      </c>
      <c r="R170" s="4">
        <v>0</v>
      </c>
      <c r="S170" s="6">
        <v>0</v>
      </c>
      <c r="T170" s="6">
        <v>43</v>
      </c>
      <c r="U170" s="6">
        <v>66</v>
      </c>
      <c r="V170" s="6">
        <f>IF(ISERROR(VLOOKUP($S$170,'TAR FIN'!$A$1:$O$86,15,0)),0,VLOOKUP($S$170,'TAR FIN'!$A$1:$O$86,15,0))</f>
        <v>0</v>
      </c>
      <c r="W170" s="6">
        <f>IF(ISERROR(VLOOKUP($T$170,'TAR FIN'!$A$1:$O$86,15,0)),0,VLOOKUP($T$170,'TAR FIN'!$A$1:$O$86,15,0))</f>
        <v>487.89</v>
      </c>
      <c r="X170" s="6">
        <f>IF(ISERROR(VLOOKUP($U$170,'TAR FIN'!$A$1:$O$86,15,0)),0,VLOOKUP($U$170,'TAR FIN'!$A$1:$O$86,15,0))</f>
        <v>131.87</v>
      </c>
      <c r="Y170" s="6"/>
      <c r="Z170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0" s="6">
        <f>('TE BE'!$AB$15+'TE BF'!$AB$15+'TE CVA'!$AB$15)*(1-CUSTOS!$M$37)</f>
        <v>116.42847759142431</v>
      </c>
      <c r="AB170" s="6">
        <f>$K$170*$V$170</f>
        <v>0</v>
      </c>
      <c r="AC170" s="6">
        <f>$M$170*$W$170</f>
        <v>1766.64969</v>
      </c>
      <c r="AD170" s="6">
        <f>$O$170*$X$170</f>
        <v>477.50127000000003</v>
      </c>
      <c r="AE170" s="6">
        <f>$K$170*$Y$170</f>
        <v>0</v>
      </c>
      <c r="AF170" s="6">
        <f ca="1">$M$170*$Z$170</f>
        <v>2040.1289417435612</v>
      </c>
      <c r="AG170" s="6">
        <f>$O$170*$AA$170</f>
        <v>421.58751735854742</v>
      </c>
    </row>
    <row r="171" spans="1:33" ht="11.25" customHeight="1" x14ac:dyDescent="0.25">
      <c r="A171" s="4" t="s">
        <v>27</v>
      </c>
      <c r="B171" s="4" t="s">
        <v>22</v>
      </c>
      <c r="C171" s="4" t="s">
        <v>23</v>
      </c>
      <c r="D171" s="4" t="s">
        <v>24</v>
      </c>
      <c r="E171" s="4" t="s">
        <v>32</v>
      </c>
      <c r="F171" s="4" t="s">
        <v>25</v>
      </c>
      <c r="G171" s="4" t="s">
        <v>25</v>
      </c>
      <c r="H171" s="4" t="s">
        <v>25</v>
      </c>
      <c r="I171" s="5">
        <v>44562</v>
      </c>
      <c r="J171" s="6">
        <v>0</v>
      </c>
      <c r="K171" s="6">
        <v>0</v>
      </c>
      <c r="L171" s="6">
        <v>2.9000000000000001E-2</v>
      </c>
      <c r="M171" s="6">
        <v>2.9000000000000001E-2</v>
      </c>
      <c r="N171" s="6">
        <v>2.9000000000000001E-2</v>
      </c>
      <c r="O171" s="6">
        <v>2.9000000000000001E-2</v>
      </c>
      <c r="P171" s="6">
        <v>0</v>
      </c>
      <c r="Q171" s="4" t="s">
        <v>26</v>
      </c>
      <c r="R171" s="4">
        <v>0</v>
      </c>
      <c r="S171" s="6">
        <v>0</v>
      </c>
      <c r="T171" s="6">
        <v>43</v>
      </c>
      <c r="U171" s="6">
        <v>66</v>
      </c>
      <c r="V171" s="6">
        <f>IF(ISERROR(VLOOKUP($S$171,'TAR FIN'!$A$1:$O$86,15,0)),0,VLOOKUP($S$171,'TAR FIN'!$A$1:$O$86,15,0))</f>
        <v>0</v>
      </c>
      <c r="W171" s="6">
        <f>IF(ISERROR(VLOOKUP($T$171,'TAR FIN'!$A$1:$O$86,15,0)),0,VLOOKUP($T$171,'TAR FIN'!$A$1:$O$86,15,0))</f>
        <v>487.89</v>
      </c>
      <c r="X171" s="6">
        <f>IF(ISERROR(VLOOKUP($U$171,'TAR FIN'!$A$1:$O$86,15,0)),0,VLOOKUP($U$171,'TAR FIN'!$A$1:$O$86,15,0))</f>
        <v>131.87</v>
      </c>
      <c r="Y171" s="6"/>
      <c r="Z171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1" s="6">
        <f>('TE BE'!$AB$15+'TE BF'!$AB$15+'TE CVA'!$AB$15)*(1-CUSTOS!$M$37)</f>
        <v>116.42847759142431</v>
      </c>
      <c r="AB171" s="6">
        <f>$K$171*$V$171</f>
        <v>0</v>
      </c>
      <c r="AC171" s="6">
        <f>$M$171*$W$171</f>
        <v>14.148810000000001</v>
      </c>
      <c r="AD171" s="6">
        <f>$O$171*$X$171</f>
        <v>3.8242300000000005</v>
      </c>
      <c r="AE171" s="6">
        <f>$K$171*$Y$171</f>
        <v>0</v>
      </c>
      <c r="AF171" s="6">
        <f ca="1">$M$171*$Z$171</f>
        <v>16.339060842464313</v>
      </c>
      <c r="AG171" s="6">
        <f>$O$171*$AA$171</f>
        <v>3.3764258501513051</v>
      </c>
    </row>
    <row r="172" spans="1:33" ht="11.25" customHeight="1" x14ac:dyDescent="0.25">
      <c r="A172" s="4" t="s">
        <v>21</v>
      </c>
      <c r="B172" s="4" t="s">
        <v>22</v>
      </c>
      <c r="C172" s="4" t="s">
        <v>23</v>
      </c>
      <c r="D172" s="4" t="s">
        <v>24</v>
      </c>
      <c r="E172" s="4" t="s">
        <v>32</v>
      </c>
      <c r="F172" s="4" t="s">
        <v>25</v>
      </c>
      <c r="G172" s="4" t="s">
        <v>25</v>
      </c>
      <c r="H172" s="4" t="s">
        <v>25</v>
      </c>
      <c r="I172" s="5">
        <v>44593</v>
      </c>
      <c r="J172" s="6">
        <v>0</v>
      </c>
      <c r="K172" s="6">
        <v>0</v>
      </c>
      <c r="L172" s="6">
        <v>5.1289999999999996</v>
      </c>
      <c r="M172" s="6">
        <v>5.1289999999999996</v>
      </c>
      <c r="N172" s="6">
        <v>5.1289999999999996</v>
      </c>
      <c r="O172" s="6">
        <v>5.1289999999999996</v>
      </c>
      <c r="P172" s="6">
        <v>52</v>
      </c>
      <c r="Q172" s="4" t="s">
        <v>26</v>
      </c>
      <c r="R172" s="4">
        <v>0</v>
      </c>
      <c r="S172" s="6">
        <v>0</v>
      </c>
      <c r="T172" s="6">
        <v>43</v>
      </c>
      <c r="U172" s="6">
        <v>66</v>
      </c>
      <c r="V172" s="6">
        <f>IF(ISERROR(VLOOKUP($S$172,'TAR FIN'!$A$1:$O$86,15,0)),0,VLOOKUP($S$172,'TAR FIN'!$A$1:$O$86,15,0))</f>
        <v>0</v>
      </c>
      <c r="W172" s="6">
        <f>IF(ISERROR(VLOOKUP($T$172,'TAR FIN'!$A$1:$O$86,15,0)),0,VLOOKUP($T$172,'TAR FIN'!$A$1:$O$86,15,0))</f>
        <v>487.89</v>
      </c>
      <c r="X172" s="6">
        <f>IF(ISERROR(VLOOKUP($U$172,'TAR FIN'!$A$1:$O$86,15,0)),0,VLOOKUP($U$172,'TAR FIN'!$A$1:$O$86,15,0))</f>
        <v>131.87</v>
      </c>
      <c r="Y172" s="6"/>
      <c r="Z172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2" s="6">
        <f>('TE BE'!$AB$15+'TE BF'!$AB$15+'TE CVA'!$AB$15)*(1-CUSTOS!$M$37)</f>
        <v>116.42847759142431</v>
      </c>
      <c r="AB172" s="6">
        <f>$K$172*$V$172</f>
        <v>0</v>
      </c>
      <c r="AC172" s="6">
        <f>$M$172*$W$172</f>
        <v>2502.3878099999997</v>
      </c>
      <c r="AD172" s="6">
        <f>$O$172*$X$172</f>
        <v>676.36122999999998</v>
      </c>
      <c r="AE172" s="6">
        <f>$K$172*$Y$172</f>
        <v>0</v>
      </c>
      <c r="AF172" s="6">
        <f ca="1">$M$172*$Z$172</f>
        <v>2889.7601055517052</v>
      </c>
      <c r="AG172" s="6">
        <f>$O$172*$AA$172</f>
        <v>597.16166156641521</v>
      </c>
    </row>
    <row r="173" spans="1:33" ht="11.25" customHeight="1" x14ac:dyDescent="0.25">
      <c r="A173" s="4" t="s">
        <v>21</v>
      </c>
      <c r="B173" s="4" t="s">
        <v>22</v>
      </c>
      <c r="C173" s="4" t="s">
        <v>23</v>
      </c>
      <c r="D173" s="4" t="s">
        <v>24</v>
      </c>
      <c r="E173" s="4" t="s">
        <v>32</v>
      </c>
      <c r="F173" s="4" t="s">
        <v>25</v>
      </c>
      <c r="G173" s="4" t="s">
        <v>25</v>
      </c>
      <c r="H173" s="4" t="s">
        <v>25</v>
      </c>
      <c r="I173" s="5">
        <v>44621</v>
      </c>
      <c r="J173" s="6">
        <v>0</v>
      </c>
      <c r="K173" s="6">
        <v>0</v>
      </c>
      <c r="L173" s="6">
        <v>7.258</v>
      </c>
      <c r="M173" s="6">
        <v>7.258</v>
      </c>
      <c r="N173" s="6">
        <v>7.258</v>
      </c>
      <c r="O173" s="6">
        <v>7.258</v>
      </c>
      <c r="P173" s="6">
        <v>76</v>
      </c>
      <c r="Q173" s="4" t="s">
        <v>26</v>
      </c>
      <c r="R173" s="4">
        <v>0</v>
      </c>
      <c r="S173" s="6">
        <v>0</v>
      </c>
      <c r="T173" s="6">
        <v>43</v>
      </c>
      <c r="U173" s="6">
        <v>66</v>
      </c>
      <c r="V173" s="6">
        <f>IF(ISERROR(VLOOKUP($S$173,'TAR FIN'!$A$1:$O$86,15,0)),0,VLOOKUP($S$173,'TAR FIN'!$A$1:$O$86,15,0))</f>
        <v>0</v>
      </c>
      <c r="W173" s="6">
        <f>IF(ISERROR(VLOOKUP($T$173,'TAR FIN'!$A$1:$O$86,15,0)),0,VLOOKUP($T$173,'TAR FIN'!$A$1:$O$86,15,0))</f>
        <v>487.89</v>
      </c>
      <c r="X173" s="6">
        <f>IF(ISERROR(VLOOKUP($U$173,'TAR FIN'!$A$1:$O$86,15,0)),0,VLOOKUP($U$173,'TAR FIN'!$A$1:$O$86,15,0))</f>
        <v>131.87</v>
      </c>
      <c r="Y173" s="6"/>
      <c r="Z173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3" s="6">
        <f>('TE BE'!$AB$15+'TE BF'!$AB$15+'TE CVA'!$AB$15)*(1-CUSTOS!$M$37)</f>
        <v>116.42847759142431</v>
      </c>
      <c r="AB173" s="6">
        <f>$K$173*$V$173</f>
        <v>0</v>
      </c>
      <c r="AC173" s="6">
        <f>$M$173*$W$173</f>
        <v>3541.1056199999998</v>
      </c>
      <c r="AD173" s="6">
        <f>$O$173*$X$173</f>
        <v>957.11246000000006</v>
      </c>
      <c r="AE173" s="6">
        <f>$K$173*$Y$173</f>
        <v>0</v>
      </c>
      <c r="AF173" s="6">
        <f ca="1">$M$173*$Z$173</f>
        <v>4089.2725377450338</v>
      </c>
      <c r="AG173" s="6">
        <f>$O$173*$AA$173</f>
        <v>845.03789035855766</v>
      </c>
    </row>
    <row r="174" spans="1:33" ht="11.25" customHeight="1" x14ac:dyDescent="0.25">
      <c r="A174" s="4" t="s">
        <v>21</v>
      </c>
      <c r="B174" s="4" t="s">
        <v>22</v>
      </c>
      <c r="C174" s="4" t="s">
        <v>23</v>
      </c>
      <c r="D174" s="4" t="s">
        <v>24</v>
      </c>
      <c r="E174" s="4" t="s">
        <v>32</v>
      </c>
      <c r="F174" s="4" t="s">
        <v>25</v>
      </c>
      <c r="G174" s="4" t="s">
        <v>25</v>
      </c>
      <c r="H174" s="4" t="s">
        <v>25</v>
      </c>
      <c r="I174" s="5">
        <v>44652</v>
      </c>
      <c r="J174" s="6">
        <v>0</v>
      </c>
      <c r="K174" s="6">
        <v>0</v>
      </c>
      <c r="L174" s="6">
        <v>13.558</v>
      </c>
      <c r="M174" s="6">
        <v>13.558</v>
      </c>
      <c r="N174" s="6">
        <v>13.558</v>
      </c>
      <c r="O174" s="6">
        <v>13.558</v>
      </c>
      <c r="P174" s="6">
        <v>128</v>
      </c>
      <c r="Q174" s="4" t="s">
        <v>26</v>
      </c>
      <c r="R174" s="4">
        <v>0</v>
      </c>
      <c r="S174" s="6">
        <v>0</v>
      </c>
      <c r="T174" s="6">
        <v>43</v>
      </c>
      <c r="U174" s="6">
        <v>66</v>
      </c>
      <c r="V174" s="6">
        <f>IF(ISERROR(VLOOKUP($S$174,'TAR FIN'!$A$1:$O$86,15,0)),0,VLOOKUP($S$174,'TAR FIN'!$A$1:$O$86,15,0))</f>
        <v>0</v>
      </c>
      <c r="W174" s="6">
        <f>IF(ISERROR(VLOOKUP($T$174,'TAR FIN'!$A$1:$O$86,15,0)),0,VLOOKUP($T$174,'TAR FIN'!$A$1:$O$86,15,0))</f>
        <v>487.89</v>
      </c>
      <c r="X174" s="6">
        <f>IF(ISERROR(VLOOKUP($U$174,'TAR FIN'!$A$1:$O$86,15,0)),0,VLOOKUP($U$174,'TAR FIN'!$A$1:$O$86,15,0))</f>
        <v>131.87</v>
      </c>
      <c r="Y174" s="6"/>
      <c r="Z174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4" s="6">
        <f>('TE BE'!$AB$15+'TE BF'!$AB$15+'TE CVA'!$AB$15)*(1-CUSTOS!$M$37)</f>
        <v>116.42847759142431</v>
      </c>
      <c r="AB174" s="6">
        <f>$K$174*$V$174</f>
        <v>0</v>
      </c>
      <c r="AC174" s="6">
        <f>$M$174*$W$174</f>
        <v>6614.8126199999997</v>
      </c>
      <c r="AD174" s="6">
        <f>$O$174*$X$174</f>
        <v>1787.89346</v>
      </c>
      <c r="AE174" s="6">
        <f>$K$174*$Y$174</f>
        <v>0</v>
      </c>
      <c r="AF174" s="6">
        <f ca="1">$M$174*$Z$174</f>
        <v>7638.7926517976257</v>
      </c>
      <c r="AG174" s="6">
        <f>$O$174*$AA$174</f>
        <v>1578.5372991845309</v>
      </c>
    </row>
    <row r="175" spans="1:33" ht="11.25" customHeight="1" x14ac:dyDescent="0.25">
      <c r="A175" s="4" t="s">
        <v>21</v>
      </c>
      <c r="B175" s="4" t="s">
        <v>22</v>
      </c>
      <c r="C175" s="4" t="s">
        <v>23</v>
      </c>
      <c r="D175" s="4" t="s">
        <v>24</v>
      </c>
      <c r="E175" s="4" t="s">
        <v>32</v>
      </c>
      <c r="F175" s="4" t="s">
        <v>25</v>
      </c>
      <c r="G175" s="4" t="s">
        <v>25</v>
      </c>
      <c r="H175" s="4" t="s">
        <v>25</v>
      </c>
      <c r="I175" s="5">
        <v>44682</v>
      </c>
      <c r="J175" s="6">
        <v>0</v>
      </c>
      <c r="K175" s="6">
        <v>0</v>
      </c>
      <c r="L175" s="6">
        <v>12.082000000000001</v>
      </c>
      <c r="M175" s="6">
        <v>12.082000000000001</v>
      </c>
      <c r="N175" s="6">
        <v>12.082000000000001</v>
      </c>
      <c r="O175" s="6">
        <v>12.082000000000001</v>
      </c>
      <c r="P175" s="6">
        <v>120</v>
      </c>
      <c r="Q175" s="4" t="s">
        <v>26</v>
      </c>
      <c r="R175" s="4">
        <v>0</v>
      </c>
      <c r="S175" s="6">
        <v>0</v>
      </c>
      <c r="T175" s="6">
        <v>43</v>
      </c>
      <c r="U175" s="6">
        <v>66</v>
      </c>
      <c r="V175" s="6">
        <f>IF(ISERROR(VLOOKUP($S$175,'TAR FIN'!$A$1:$O$86,15,0)),0,VLOOKUP($S$175,'TAR FIN'!$A$1:$O$86,15,0))</f>
        <v>0</v>
      </c>
      <c r="W175" s="6">
        <f>IF(ISERROR(VLOOKUP($T$175,'TAR FIN'!$A$1:$O$86,15,0)),0,VLOOKUP($T$175,'TAR FIN'!$A$1:$O$86,15,0))</f>
        <v>487.89</v>
      </c>
      <c r="X175" s="6">
        <f>IF(ISERROR(VLOOKUP($U$175,'TAR FIN'!$A$1:$O$86,15,0)),0,VLOOKUP($U$175,'TAR FIN'!$A$1:$O$86,15,0))</f>
        <v>131.87</v>
      </c>
      <c r="Y175" s="6"/>
      <c r="Z175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5" s="6">
        <f>('TE BE'!$AB$15+'TE BF'!$AB$15+'TE CVA'!$AB$15)*(1-CUSTOS!$M$37)</f>
        <v>116.42847759142431</v>
      </c>
      <c r="AB175" s="6">
        <f>$K$175*$V$175</f>
        <v>0</v>
      </c>
      <c r="AC175" s="6">
        <f>$M$175*$W$175</f>
        <v>5894.6869800000004</v>
      </c>
      <c r="AD175" s="6">
        <f>$O$175*$X$175</f>
        <v>1593.2533400000002</v>
      </c>
      <c r="AE175" s="6">
        <f>$K$175*$Y$175</f>
        <v>0</v>
      </c>
      <c r="AF175" s="6">
        <f ca="1">$M$175*$Z$175</f>
        <v>6807.1907965053042</v>
      </c>
      <c r="AG175" s="6">
        <f>$O$175*$AA$175</f>
        <v>1406.6888662595886</v>
      </c>
    </row>
    <row r="176" spans="1:33" ht="11.25" customHeight="1" x14ac:dyDescent="0.25">
      <c r="A176" s="4" t="s">
        <v>21</v>
      </c>
      <c r="B176" s="4" t="s">
        <v>22</v>
      </c>
      <c r="C176" s="4" t="s">
        <v>23</v>
      </c>
      <c r="D176" s="4" t="s">
        <v>24</v>
      </c>
      <c r="E176" s="4" t="s">
        <v>32</v>
      </c>
      <c r="F176" s="4" t="s">
        <v>25</v>
      </c>
      <c r="G176" s="4" t="s">
        <v>25</v>
      </c>
      <c r="H176" s="4" t="s">
        <v>25</v>
      </c>
      <c r="I176" s="5">
        <v>44713</v>
      </c>
      <c r="J176" s="6">
        <v>0</v>
      </c>
      <c r="K176" s="6">
        <v>0</v>
      </c>
      <c r="L176" s="6">
        <v>15.427</v>
      </c>
      <c r="M176" s="6">
        <v>15.427</v>
      </c>
      <c r="N176" s="6">
        <v>15.427</v>
      </c>
      <c r="O176" s="6">
        <v>15.427</v>
      </c>
      <c r="P176" s="6">
        <v>149</v>
      </c>
      <c r="Q176" s="4" t="s">
        <v>26</v>
      </c>
      <c r="R176" s="4">
        <v>0</v>
      </c>
      <c r="S176" s="6">
        <v>0</v>
      </c>
      <c r="T176" s="6">
        <v>43</v>
      </c>
      <c r="U176" s="6">
        <v>66</v>
      </c>
      <c r="V176" s="6">
        <f>IF(ISERROR(VLOOKUP($S$176,'TAR FIN'!$A$1:$O$86,15,0)),0,VLOOKUP($S$176,'TAR FIN'!$A$1:$O$86,15,0))</f>
        <v>0</v>
      </c>
      <c r="W176" s="6">
        <f>IF(ISERROR(VLOOKUP($T$176,'TAR FIN'!$A$1:$O$86,15,0)),0,VLOOKUP($T$176,'TAR FIN'!$A$1:$O$86,15,0))</f>
        <v>487.89</v>
      </c>
      <c r="X176" s="6">
        <f>IF(ISERROR(VLOOKUP($U$176,'TAR FIN'!$A$1:$O$86,15,0)),0,VLOOKUP($U$176,'TAR FIN'!$A$1:$O$86,15,0))</f>
        <v>131.87</v>
      </c>
      <c r="Y176" s="6"/>
      <c r="Z176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176" s="6">
        <f>('TE BE'!$AB$15+'TE BF'!$AB$15+'TE CVA'!$AB$15)*(1-CUSTOS!$M$37)</f>
        <v>116.42847759142431</v>
      </c>
      <c r="AB176" s="6">
        <f>$K$176*$V$176</f>
        <v>0</v>
      </c>
      <c r="AC176" s="6">
        <f>$M$176*$W$176</f>
        <v>7526.6790299999993</v>
      </c>
      <c r="AD176" s="6">
        <f>$O$176*$X$176</f>
        <v>2034.3584900000001</v>
      </c>
      <c r="AE176" s="6">
        <f>$K$176*$Y$176</f>
        <v>0</v>
      </c>
      <c r="AF176" s="6">
        <f ca="1">$M$176*$Z$176</f>
        <v>8691.8169522998942</v>
      </c>
      <c r="AG176" s="6">
        <f>$O$176*$AA$176</f>
        <v>1796.1421238029029</v>
      </c>
    </row>
    <row r="177" spans="1:33" ht="11.25" customHeight="1" x14ac:dyDescent="0.25">
      <c r="A177" s="4" t="s">
        <v>21</v>
      </c>
      <c r="B177" s="4" t="s">
        <v>41</v>
      </c>
      <c r="C177" s="4" t="s">
        <v>23</v>
      </c>
      <c r="D177" s="4" t="s">
        <v>42</v>
      </c>
      <c r="E177" s="4" t="s">
        <v>25</v>
      </c>
      <c r="F177" s="4" t="s">
        <v>25</v>
      </c>
      <c r="G177" s="4" t="s">
        <v>25</v>
      </c>
      <c r="H177" s="4" t="s">
        <v>25</v>
      </c>
      <c r="I177" s="5">
        <v>44378</v>
      </c>
      <c r="J177" s="6">
        <v>0</v>
      </c>
      <c r="K177" s="6">
        <v>0</v>
      </c>
      <c r="L177" s="6">
        <v>54.207999999999998</v>
      </c>
      <c r="M177" s="6">
        <v>54.207999999999998</v>
      </c>
      <c r="N177" s="6">
        <v>54.207999999999998</v>
      </c>
      <c r="O177" s="6">
        <v>54.207999999999998</v>
      </c>
      <c r="P177" s="6">
        <v>41</v>
      </c>
      <c r="Q177" s="4" t="s">
        <v>26</v>
      </c>
      <c r="R177" s="4">
        <v>0</v>
      </c>
      <c r="S177" s="6">
        <v>0</v>
      </c>
      <c r="T177" s="6">
        <v>51</v>
      </c>
      <c r="U177" s="6">
        <v>44</v>
      </c>
      <c r="V177" s="6">
        <f>IF(ISERROR(VLOOKUP($S$177,'TAR FIN'!$A$1:$O$86,15,0)),0,VLOOKUP($S$177,'TAR FIN'!$A$1:$O$86,15,0))</f>
        <v>0</v>
      </c>
      <c r="W177" s="6">
        <f>IF(ISERROR(VLOOKUP($T$177,'TAR FIN'!$A$1:$O$86,15,0)),0,VLOOKUP($T$177,'TAR FIN'!$A$1:$O$86,15,0))</f>
        <v>490.02</v>
      </c>
      <c r="X177" s="6">
        <f>IF(ISERROR(VLOOKUP($U$177,'TAR FIN'!$A$1:$O$86,15,0)),0,VLOOKUP($U$177,'TAR FIN'!$A$1:$O$86,15,0))</f>
        <v>116.05</v>
      </c>
      <c r="Y177" s="6"/>
      <c r="Z177" s="6">
        <f ca="1">('TUSD BE'!$AM$33+'TUSD BF'!$AM$33+'TUSD CVA'!$AM$33)*(1-CUSTOS!$M$38)</f>
        <v>629.87923328312354</v>
      </c>
      <c r="AA177" s="6">
        <f>('TE BE'!$AB$24+'TE BF'!$AB$24+'TE CVA'!$AB$24)*(1-CUSTOS!$M$38)</f>
        <v>109.44276893593884</v>
      </c>
      <c r="AB177" s="6">
        <f>$K$177*$V$177</f>
        <v>0</v>
      </c>
      <c r="AC177" s="6">
        <f>$M$177*$W$177</f>
        <v>26563.004159999997</v>
      </c>
      <c r="AD177" s="6">
        <f>$O$177*$X$177</f>
        <v>6290.8383999999996</v>
      </c>
      <c r="AE177" s="6">
        <f>$K$177*$Y$177</f>
        <v>0</v>
      </c>
      <c r="AF177" s="6">
        <f ca="1">$M$177*$Z$177</f>
        <v>34144.493477811557</v>
      </c>
      <c r="AG177" s="6">
        <f>$O$177*$AA$177</f>
        <v>5932.6736184793726</v>
      </c>
    </row>
    <row r="178" spans="1:33" ht="11.25" customHeight="1" x14ac:dyDescent="0.25">
      <c r="A178" s="4" t="s">
        <v>21</v>
      </c>
      <c r="B178" s="4" t="s">
        <v>41</v>
      </c>
      <c r="C178" s="4" t="s">
        <v>23</v>
      </c>
      <c r="D178" s="4" t="s">
        <v>42</v>
      </c>
      <c r="E178" s="4" t="s">
        <v>25</v>
      </c>
      <c r="F178" s="4" t="s">
        <v>25</v>
      </c>
      <c r="G178" s="4" t="s">
        <v>25</v>
      </c>
      <c r="H178" s="4" t="s">
        <v>25</v>
      </c>
      <c r="I178" s="5">
        <v>44409</v>
      </c>
      <c r="J178" s="6">
        <v>0</v>
      </c>
      <c r="K178" s="6">
        <v>0</v>
      </c>
      <c r="L178" s="6">
        <v>59.506</v>
      </c>
      <c r="M178" s="6">
        <v>59.506</v>
      </c>
      <c r="N178" s="6">
        <v>59.506</v>
      </c>
      <c r="O178" s="6">
        <v>59.506</v>
      </c>
      <c r="P178" s="6">
        <v>41</v>
      </c>
      <c r="Q178" s="4" t="s">
        <v>26</v>
      </c>
      <c r="R178" s="4">
        <v>0</v>
      </c>
      <c r="S178" s="6">
        <v>0</v>
      </c>
      <c r="T178" s="6">
        <v>51</v>
      </c>
      <c r="U178" s="6">
        <v>44</v>
      </c>
      <c r="V178" s="6">
        <f>IF(ISERROR(VLOOKUP($S$178,'TAR FIN'!$A$1:$O$86,15,0)),0,VLOOKUP($S$178,'TAR FIN'!$A$1:$O$86,15,0))</f>
        <v>0</v>
      </c>
      <c r="W178" s="6">
        <f>IF(ISERROR(VLOOKUP($T$178,'TAR FIN'!$A$1:$O$86,15,0)),0,VLOOKUP($T$178,'TAR FIN'!$A$1:$O$86,15,0))</f>
        <v>490.02</v>
      </c>
      <c r="X178" s="6">
        <f>IF(ISERROR(VLOOKUP($U$178,'TAR FIN'!$A$1:$O$86,15,0)),0,VLOOKUP($U$178,'TAR FIN'!$A$1:$O$86,15,0))</f>
        <v>116.05</v>
      </c>
      <c r="Y178" s="6"/>
      <c r="Z178" s="6">
        <f ca="1">('TUSD BE'!$AM$33+'TUSD BF'!$AM$33+'TUSD CVA'!$AM$33)*(1-CUSTOS!$M$38)</f>
        <v>629.87923328312354</v>
      </c>
      <c r="AA178" s="6">
        <f>('TE BE'!$AB$24+'TE BF'!$AB$24+'TE CVA'!$AB$24)*(1-CUSTOS!$M$38)</f>
        <v>109.44276893593884</v>
      </c>
      <c r="AB178" s="6">
        <f>$K$178*$V$178</f>
        <v>0</v>
      </c>
      <c r="AC178" s="6">
        <f>$M$178*$W$178</f>
        <v>29159.130119999998</v>
      </c>
      <c r="AD178" s="6">
        <f>$O$178*$X$178</f>
        <v>6905.6713</v>
      </c>
      <c r="AE178" s="6">
        <f>$K$178*$Y$178</f>
        <v>0</v>
      </c>
      <c r="AF178" s="6">
        <f ca="1">$M$178*$Z$178</f>
        <v>37481.59365574555</v>
      </c>
      <c r="AG178" s="6">
        <f>$O$178*$AA$178</f>
        <v>6512.5014083019769</v>
      </c>
    </row>
    <row r="179" spans="1:33" ht="11.25" customHeight="1" x14ac:dyDescent="0.25">
      <c r="A179" s="4" t="s">
        <v>21</v>
      </c>
      <c r="B179" s="4" t="s">
        <v>41</v>
      </c>
      <c r="C179" s="4" t="s">
        <v>23</v>
      </c>
      <c r="D179" s="4" t="s">
        <v>42</v>
      </c>
      <c r="E179" s="4" t="s">
        <v>25</v>
      </c>
      <c r="F179" s="4" t="s">
        <v>25</v>
      </c>
      <c r="G179" s="4" t="s">
        <v>25</v>
      </c>
      <c r="H179" s="4" t="s">
        <v>25</v>
      </c>
      <c r="I179" s="5">
        <v>44440</v>
      </c>
      <c r="J179" s="6">
        <v>0</v>
      </c>
      <c r="K179" s="6">
        <v>0</v>
      </c>
      <c r="L179" s="6">
        <v>56.250999999999998</v>
      </c>
      <c r="M179" s="6">
        <v>56.250999999999998</v>
      </c>
      <c r="N179" s="6">
        <v>56.250999999999998</v>
      </c>
      <c r="O179" s="6">
        <v>56.250999999999998</v>
      </c>
      <c r="P179" s="6">
        <v>42</v>
      </c>
      <c r="Q179" s="4" t="s">
        <v>26</v>
      </c>
      <c r="R179" s="4">
        <v>0</v>
      </c>
      <c r="S179" s="6">
        <v>0</v>
      </c>
      <c r="T179" s="6">
        <v>51</v>
      </c>
      <c r="U179" s="6">
        <v>44</v>
      </c>
      <c r="V179" s="6">
        <f>IF(ISERROR(VLOOKUP($S$179,'TAR FIN'!$A$1:$O$86,15,0)),0,VLOOKUP($S$179,'TAR FIN'!$A$1:$O$86,15,0))</f>
        <v>0</v>
      </c>
      <c r="W179" s="6">
        <f>IF(ISERROR(VLOOKUP($T$179,'TAR FIN'!$A$1:$O$86,15,0)),0,VLOOKUP($T$179,'TAR FIN'!$A$1:$O$86,15,0))</f>
        <v>490.02</v>
      </c>
      <c r="X179" s="6">
        <f>IF(ISERROR(VLOOKUP($U$179,'TAR FIN'!$A$1:$O$86,15,0)),0,VLOOKUP($U$179,'TAR FIN'!$A$1:$O$86,15,0))</f>
        <v>116.05</v>
      </c>
      <c r="Y179" s="6"/>
      <c r="Z179" s="6">
        <f ca="1">('TUSD BE'!$AM$33+'TUSD BF'!$AM$33+'TUSD CVA'!$AM$33)*(1-CUSTOS!$M$38)</f>
        <v>629.87923328312354</v>
      </c>
      <c r="AA179" s="6">
        <f>('TE BE'!$AB$24+'TE BF'!$AB$24+'TE CVA'!$AB$24)*(1-CUSTOS!$M$38)</f>
        <v>109.44276893593884</v>
      </c>
      <c r="AB179" s="6">
        <f>$K$179*$V$179</f>
        <v>0</v>
      </c>
      <c r="AC179" s="6">
        <f>$M$179*$W$179</f>
        <v>27564.115019999997</v>
      </c>
      <c r="AD179" s="6">
        <f>$O$179*$X$179</f>
        <v>6527.9285499999996</v>
      </c>
      <c r="AE179" s="6">
        <f>$K$179*$Y$179</f>
        <v>0</v>
      </c>
      <c r="AF179" s="6">
        <f ca="1">$M$179*$Z$179</f>
        <v>35431.336751408984</v>
      </c>
      <c r="AG179" s="6">
        <f>$O$179*$AA$179</f>
        <v>6156.2651954154953</v>
      </c>
    </row>
    <row r="180" spans="1:33" ht="11.25" customHeight="1" x14ac:dyDescent="0.25">
      <c r="A180" s="4" t="s">
        <v>21</v>
      </c>
      <c r="B180" s="4" t="s">
        <v>41</v>
      </c>
      <c r="C180" s="4" t="s">
        <v>23</v>
      </c>
      <c r="D180" s="4" t="s">
        <v>42</v>
      </c>
      <c r="E180" s="4" t="s">
        <v>25</v>
      </c>
      <c r="F180" s="4" t="s">
        <v>25</v>
      </c>
      <c r="G180" s="4" t="s">
        <v>25</v>
      </c>
      <c r="H180" s="4" t="s">
        <v>25</v>
      </c>
      <c r="I180" s="5">
        <v>44470</v>
      </c>
      <c r="J180" s="6">
        <v>0</v>
      </c>
      <c r="K180" s="6">
        <v>0</v>
      </c>
      <c r="L180" s="6">
        <v>56.595999999999997</v>
      </c>
      <c r="M180" s="6">
        <v>56.595999999999997</v>
      </c>
      <c r="N180" s="6">
        <v>56.595999999999997</v>
      </c>
      <c r="O180" s="6">
        <v>56.595999999999997</v>
      </c>
      <c r="P180" s="6">
        <v>42</v>
      </c>
      <c r="Q180" s="4" t="s">
        <v>26</v>
      </c>
      <c r="R180" s="4">
        <v>0</v>
      </c>
      <c r="S180" s="6">
        <v>0</v>
      </c>
      <c r="T180" s="6">
        <v>51</v>
      </c>
      <c r="U180" s="6">
        <v>44</v>
      </c>
      <c r="V180" s="6">
        <f>IF(ISERROR(VLOOKUP($S$180,'TAR FIN'!$A$1:$O$86,15,0)),0,VLOOKUP($S$180,'TAR FIN'!$A$1:$O$86,15,0))</f>
        <v>0</v>
      </c>
      <c r="W180" s="6">
        <f>IF(ISERROR(VLOOKUP($T$180,'TAR FIN'!$A$1:$O$86,15,0)),0,VLOOKUP($T$180,'TAR FIN'!$A$1:$O$86,15,0))</f>
        <v>490.02</v>
      </c>
      <c r="X180" s="6">
        <f>IF(ISERROR(VLOOKUP($U$180,'TAR FIN'!$A$1:$O$86,15,0)),0,VLOOKUP($U$180,'TAR FIN'!$A$1:$O$86,15,0))</f>
        <v>116.05</v>
      </c>
      <c r="Y180" s="6"/>
      <c r="Z180" s="6">
        <f ca="1">('TUSD BE'!$AM$33+'TUSD BF'!$AM$33+'TUSD CVA'!$AM$33)*(1-CUSTOS!$M$38)</f>
        <v>629.87923328312354</v>
      </c>
      <c r="AA180" s="6">
        <f>('TE BE'!$AB$24+'TE BF'!$AB$24+'TE CVA'!$AB$24)*(1-CUSTOS!$M$38)</f>
        <v>109.44276893593884</v>
      </c>
      <c r="AB180" s="6">
        <f>$K$180*$V$180</f>
        <v>0</v>
      </c>
      <c r="AC180" s="6">
        <f>$M$180*$W$180</f>
        <v>27733.171919999997</v>
      </c>
      <c r="AD180" s="6">
        <f>$O$180*$X$180</f>
        <v>6567.965799999999</v>
      </c>
      <c r="AE180" s="6">
        <f>$K$180*$Y$180</f>
        <v>0</v>
      </c>
      <c r="AF180" s="6">
        <f ca="1">$M$180*$Z$180</f>
        <v>35648.645086891658</v>
      </c>
      <c r="AG180" s="6">
        <f>$O$180*$AA$180</f>
        <v>6194.0229506983942</v>
      </c>
    </row>
    <row r="181" spans="1:33" ht="11.25" customHeight="1" x14ac:dyDescent="0.25">
      <c r="A181" s="4" t="s">
        <v>21</v>
      </c>
      <c r="B181" s="4" t="s">
        <v>41</v>
      </c>
      <c r="C181" s="4" t="s">
        <v>23</v>
      </c>
      <c r="D181" s="4" t="s">
        <v>42</v>
      </c>
      <c r="E181" s="4" t="s">
        <v>25</v>
      </c>
      <c r="F181" s="4" t="s">
        <v>25</v>
      </c>
      <c r="G181" s="4" t="s">
        <v>25</v>
      </c>
      <c r="H181" s="4" t="s">
        <v>25</v>
      </c>
      <c r="I181" s="5">
        <v>44501</v>
      </c>
      <c r="J181" s="6">
        <v>0</v>
      </c>
      <c r="K181" s="6">
        <v>0</v>
      </c>
      <c r="L181" s="6">
        <v>53.649000000000001</v>
      </c>
      <c r="M181" s="6">
        <v>53.649000000000001</v>
      </c>
      <c r="N181" s="6">
        <v>53.649000000000001</v>
      </c>
      <c r="O181" s="6">
        <v>53.649000000000001</v>
      </c>
      <c r="P181" s="6">
        <v>42</v>
      </c>
      <c r="Q181" s="4" t="s">
        <v>26</v>
      </c>
      <c r="R181" s="4">
        <v>0</v>
      </c>
      <c r="S181" s="6">
        <v>0</v>
      </c>
      <c r="T181" s="6">
        <v>51</v>
      </c>
      <c r="U181" s="6">
        <v>44</v>
      </c>
      <c r="V181" s="6">
        <f>IF(ISERROR(VLOOKUP($S$181,'TAR FIN'!$A$1:$O$86,15,0)),0,VLOOKUP($S$181,'TAR FIN'!$A$1:$O$86,15,0))</f>
        <v>0</v>
      </c>
      <c r="W181" s="6">
        <f>IF(ISERROR(VLOOKUP($T$181,'TAR FIN'!$A$1:$O$86,15,0)),0,VLOOKUP($T$181,'TAR FIN'!$A$1:$O$86,15,0))</f>
        <v>490.02</v>
      </c>
      <c r="X181" s="6">
        <f>IF(ISERROR(VLOOKUP($U$181,'TAR FIN'!$A$1:$O$86,15,0)),0,VLOOKUP($U$181,'TAR FIN'!$A$1:$O$86,15,0))</f>
        <v>116.05</v>
      </c>
      <c r="Y181" s="6"/>
      <c r="Z181" s="6">
        <f ca="1">('TUSD BE'!$AM$33+'TUSD BF'!$AM$33+'TUSD CVA'!$AM$33)*(1-CUSTOS!$M$38)</f>
        <v>629.87923328312354</v>
      </c>
      <c r="AA181" s="6">
        <f>('TE BE'!$AB$24+'TE BF'!$AB$24+'TE CVA'!$AB$24)*(1-CUSTOS!$M$38)</f>
        <v>109.44276893593884</v>
      </c>
      <c r="AB181" s="6">
        <f>$K$181*$V$181</f>
        <v>0</v>
      </c>
      <c r="AC181" s="6">
        <f>$M$181*$W$181</f>
        <v>26289.082979999999</v>
      </c>
      <c r="AD181" s="6">
        <f>$O$181*$X$181</f>
        <v>6225.9664499999999</v>
      </c>
      <c r="AE181" s="6">
        <f>$K$181*$Y$181</f>
        <v>0</v>
      </c>
      <c r="AF181" s="6">
        <f ca="1">$M$181*$Z$181</f>
        <v>33792.390986406295</v>
      </c>
      <c r="AG181" s="6">
        <f>$O$181*$AA$181</f>
        <v>5871.4951106441831</v>
      </c>
    </row>
    <row r="182" spans="1:33" ht="11.25" customHeight="1" x14ac:dyDescent="0.25">
      <c r="A182" s="4" t="s">
        <v>21</v>
      </c>
      <c r="B182" s="4" t="s">
        <v>41</v>
      </c>
      <c r="C182" s="4" t="s">
        <v>23</v>
      </c>
      <c r="D182" s="4" t="s">
        <v>42</v>
      </c>
      <c r="E182" s="4" t="s">
        <v>25</v>
      </c>
      <c r="F182" s="4" t="s">
        <v>25</v>
      </c>
      <c r="G182" s="4" t="s">
        <v>25</v>
      </c>
      <c r="H182" s="4" t="s">
        <v>25</v>
      </c>
      <c r="I182" s="5">
        <v>44531</v>
      </c>
      <c r="J182" s="6">
        <v>0</v>
      </c>
      <c r="K182" s="6">
        <v>0</v>
      </c>
      <c r="L182" s="6">
        <v>56.908999999999999</v>
      </c>
      <c r="M182" s="6">
        <v>56.908999999999999</v>
      </c>
      <c r="N182" s="6">
        <v>56.908999999999999</v>
      </c>
      <c r="O182" s="6">
        <v>56.908999999999999</v>
      </c>
      <c r="P182" s="6">
        <v>42</v>
      </c>
      <c r="Q182" s="4" t="s">
        <v>26</v>
      </c>
      <c r="R182" s="4">
        <v>0</v>
      </c>
      <c r="S182" s="6">
        <v>0</v>
      </c>
      <c r="T182" s="6">
        <v>51</v>
      </c>
      <c r="U182" s="6">
        <v>44</v>
      </c>
      <c r="V182" s="6">
        <f>IF(ISERROR(VLOOKUP($S$182,'TAR FIN'!$A$1:$O$86,15,0)),0,VLOOKUP($S$182,'TAR FIN'!$A$1:$O$86,15,0))</f>
        <v>0</v>
      </c>
      <c r="W182" s="6">
        <f>IF(ISERROR(VLOOKUP($T$182,'TAR FIN'!$A$1:$O$86,15,0)),0,VLOOKUP($T$182,'TAR FIN'!$A$1:$O$86,15,0))</f>
        <v>490.02</v>
      </c>
      <c r="X182" s="6">
        <f>IF(ISERROR(VLOOKUP($U$182,'TAR FIN'!$A$1:$O$86,15,0)),0,VLOOKUP($U$182,'TAR FIN'!$A$1:$O$86,15,0))</f>
        <v>116.05</v>
      </c>
      <c r="Y182" s="6"/>
      <c r="Z182" s="6">
        <f ca="1">('TUSD BE'!$AM$33+'TUSD BF'!$AM$33+'TUSD CVA'!$AM$33)*(1-CUSTOS!$M$38)</f>
        <v>629.87923328312354</v>
      </c>
      <c r="AA182" s="6">
        <f>('TE BE'!$AB$24+'TE BF'!$AB$24+'TE CVA'!$AB$24)*(1-CUSTOS!$M$38)</f>
        <v>109.44276893593884</v>
      </c>
      <c r="AB182" s="6">
        <f>$K$182*$V$182</f>
        <v>0</v>
      </c>
      <c r="AC182" s="6">
        <f>$M$182*$W$182</f>
        <v>27886.548179999998</v>
      </c>
      <c r="AD182" s="6">
        <f>$O$182*$X$182</f>
        <v>6604.2894499999993</v>
      </c>
      <c r="AE182" s="6">
        <f>$K$182*$Y$182</f>
        <v>0</v>
      </c>
      <c r="AF182" s="6">
        <f ca="1">$M$182*$Z$182</f>
        <v>35845.797286909277</v>
      </c>
      <c r="AG182" s="6">
        <f>$O$182*$AA$182</f>
        <v>6228.2785373753431</v>
      </c>
    </row>
    <row r="183" spans="1:33" ht="11.25" customHeight="1" x14ac:dyDescent="0.25">
      <c r="A183" s="4" t="s">
        <v>21</v>
      </c>
      <c r="B183" s="4" t="s">
        <v>41</v>
      </c>
      <c r="C183" s="4" t="s">
        <v>23</v>
      </c>
      <c r="D183" s="4" t="s">
        <v>42</v>
      </c>
      <c r="E183" s="4" t="s">
        <v>25</v>
      </c>
      <c r="F183" s="4" t="s">
        <v>25</v>
      </c>
      <c r="G183" s="4" t="s">
        <v>25</v>
      </c>
      <c r="H183" s="4" t="s">
        <v>25</v>
      </c>
      <c r="I183" s="5">
        <v>44562</v>
      </c>
      <c r="J183" s="6">
        <v>0</v>
      </c>
      <c r="K183" s="6">
        <v>0</v>
      </c>
      <c r="L183" s="6">
        <v>59.033999999999999</v>
      </c>
      <c r="M183" s="6">
        <v>59.033999999999999</v>
      </c>
      <c r="N183" s="6">
        <v>59.033999999999999</v>
      </c>
      <c r="O183" s="6">
        <v>59.033999999999999</v>
      </c>
      <c r="P183" s="6">
        <v>38</v>
      </c>
      <c r="Q183" s="4" t="s">
        <v>26</v>
      </c>
      <c r="R183" s="4">
        <v>0</v>
      </c>
      <c r="S183" s="6">
        <v>0</v>
      </c>
      <c r="T183" s="6">
        <v>51</v>
      </c>
      <c r="U183" s="6">
        <v>44</v>
      </c>
      <c r="V183" s="6">
        <f>IF(ISERROR(VLOOKUP($S$183,'TAR FIN'!$A$1:$O$86,15,0)),0,VLOOKUP($S$183,'TAR FIN'!$A$1:$O$86,15,0))</f>
        <v>0</v>
      </c>
      <c r="W183" s="6">
        <f>IF(ISERROR(VLOOKUP($T$183,'TAR FIN'!$A$1:$O$86,15,0)),0,VLOOKUP($T$183,'TAR FIN'!$A$1:$O$86,15,0))</f>
        <v>490.02</v>
      </c>
      <c r="X183" s="6">
        <f>IF(ISERROR(VLOOKUP($U$183,'TAR FIN'!$A$1:$O$86,15,0)),0,VLOOKUP($U$183,'TAR FIN'!$A$1:$O$86,15,0))</f>
        <v>116.05</v>
      </c>
      <c r="Y183" s="6"/>
      <c r="Z183" s="6">
        <f ca="1">('TUSD BE'!$AM$33+'TUSD BF'!$AM$33+'TUSD CVA'!$AM$33)*(1-CUSTOS!$M$38)</f>
        <v>629.87923328312354</v>
      </c>
      <c r="AA183" s="6">
        <f>('TE BE'!$AB$24+'TE BF'!$AB$24+'TE CVA'!$AB$24)*(1-CUSTOS!$M$38)</f>
        <v>109.44276893593884</v>
      </c>
      <c r="AB183" s="6">
        <f>$K$183*$V$183</f>
        <v>0</v>
      </c>
      <c r="AC183" s="6">
        <f>$M$183*$W$183</f>
        <v>28927.840679999998</v>
      </c>
      <c r="AD183" s="6">
        <f>$O$183*$X$183</f>
        <v>6850.8957</v>
      </c>
      <c r="AE183" s="6">
        <f>$K$183*$Y$183</f>
        <v>0</v>
      </c>
      <c r="AF183" s="6">
        <f ca="1">$M$183*$Z$183</f>
        <v>37184.290657635916</v>
      </c>
      <c r="AG183" s="6">
        <f>$O$183*$AA$183</f>
        <v>6460.8444213642133</v>
      </c>
    </row>
    <row r="184" spans="1:33" ht="11.25" customHeight="1" x14ac:dyDescent="0.25">
      <c r="A184" s="4" t="s">
        <v>21</v>
      </c>
      <c r="B184" s="4" t="s">
        <v>41</v>
      </c>
      <c r="C184" s="4" t="s">
        <v>23</v>
      </c>
      <c r="D184" s="4" t="s">
        <v>42</v>
      </c>
      <c r="E184" s="4" t="s">
        <v>25</v>
      </c>
      <c r="F184" s="4" t="s">
        <v>25</v>
      </c>
      <c r="G184" s="4" t="s">
        <v>25</v>
      </c>
      <c r="H184" s="4" t="s">
        <v>25</v>
      </c>
      <c r="I184" s="5">
        <v>44593</v>
      </c>
      <c r="J184" s="6">
        <v>0</v>
      </c>
      <c r="K184" s="6">
        <v>0</v>
      </c>
      <c r="L184" s="6">
        <v>61.593000000000004</v>
      </c>
      <c r="M184" s="6">
        <v>61.593000000000004</v>
      </c>
      <c r="N184" s="6">
        <v>61.593000000000004</v>
      </c>
      <c r="O184" s="6">
        <v>61.593000000000004</v>
      </c>
      <c r="P184" s="6">
        <v>37</v>
      </c>
      <c r="Q184" s="4" t="s">
        <v>26</v>
      </c>
      <c r="R184" s="4">
        <v>0</v>
      </c>
      <c r="S184" s="6">
        <v>0</v>
      </c>
      <c r="T184" s="6">
        <v>51</v>
      </c>
      <c r="U184" s="6">
        <v>44</v>
      </c>
      <c r="V184" s="6">
        <f>IF(ISERROR(VLOOKUP($S$184,'TAR FIN'!$A$1:$O$86,15,0)),0,VLOOKUP($S$184,'TAR FIN'!$A$1:$O$86,15,0))</f>
        <v>0</v>
      </c>
      <c r="W184" s="6">
        <f>IF(ISERROR(VLOOKUP($T$184,'TAR FIN'!$A$1:$O$86,15,0)),0,VLOOKUP($T$184,'TAR FIN'!$A$1:$O$86,15,0))</f>
        <v>490.02</v>
      </c>
      <c r="X184" s="6">
        <f>IF(ISERROR(VLOOKUP($U$184,'TAR FIN'!$A$1:$O$86,15,0)),0,VLOOKUP($U$184,'TAR FIN'!$A$1:$O$86,15,0))</f>
        <v>116.05</v>
      </c>
      <c r="Y184" s="6"/>
      <c r="Z184" s="6">
        <f ca="1">('TUSD BE'!$AM$33+'TUSD BF'!$AM$33+'TUSD CVA'!$AM$33)*(1-CUSTOS!$M$38)</f>
        <v>629.87923328312354</v>
      </c>
      <c r="AA184" s="6">
        <f>('TE BE'!$AB$24+'TE BF'!$AB$24+'TE CVA'!$AB$24)*(1-CUSTOS!$M$38)</f>
        <v>109.44276893593884</v>
      </c>
      <c r="AB184" s="6">
        <f>$K$184*$V$184</f>
        <v>0</v>
      </c>
      <c r="AC184" s="6">
        <f>$M$184*$W$184</f>
        <v>30181.80186</v>
      </c>
      <c r="AD184" s="6">
        <f>$O$184*$X$184</f>
        <v>7147.8676500000001</v>
      </c>
      <c r="AE184" s="6">
        <f>$K$184*$Y$184</f>
        <v>0</v>
      </c>
      <c r="AF184" s="6">
        <f ca="1">$M$184*$Z$184</f>
        <v>38796.151615607429</v>
      </c>
      <c r="AG184" s="6">
        <f>$O$184*$AA$184</f>
        <v>6740.9084670712818</v>
      </c>
    </row>
    <row r="185" spans="1:33" ht="11.25" customHeight="1" x14ac:dyDescent="0.25">
      <c r="A185" s="4" t="s">
        <v>28</v>
      </c>
      <c r="B185" s="4" t="s">
        <v>41</v>
      </c>
      <c r="C185" s="4" t="s">
        <v>23</v>
      </c>
      <c r="D185" s="4" t="s">
        <v>42</v>
      </c>
      <c r="E185" s="4" t="s">
        <v>25</v>
      </c>
      <c r="F185" s="4" t="s">
        <v>25</v>
      </c>
      <c r="G185" s="4" t="s">
        <v>25</v>
      </c>
      <c r="H185" s="4" t="s">
        <v>25</v>
      </c>
      <c r="I185" s="5">
        <v>44593</v>
      </c>
      <c r="J185" s="6">
        <v>0</v>
      </c>
      <c r="K185" s="6">
        <v>0</v>
      </c>
      <c r="L185" s="6">
        <v>0.122</v>
      </c>
      <c r="M185" s="6">
        <v>0.122</v>
      </c>
      <c r="N185" s="6">
        <v>0.122</v>
      </c>
      <c r="O185" s="6">
        <v>0.122</v>
      </c>
      <c r="P185" s="6">
        <v>1</v>
      </c>
      <c r="Q185" s="4" t="s">
        <v>26</v>
      </c>
      <c r="R185" s="4">
        <v>0</v>
      </c>
      <c r="S185" s="6">
        <v>0</v>
      </c>
      <c r="T185" s="6">
        <v>51</v>
      </c>
      <c r="U185" s="6">
        <v>44</v>
      </c>
      <c r="V185" s="6">
        <f>IF(ISERROR(VLOOKUP($S$185,'TAR FIN'!$A$1:$O$86,15,0)),0,VLOOKUP($S$185,'TAR FIN'!$A$1:$O$86,15,0))</f>
        <v>0</v>
      </c>
      <c r="W185" s="6">
        <f>IF(ISERROR(VLOOKUP($T$185,'TAR FIN'!$A$1:$O$86,15,0)),0,VLOOKUP($T$185,'TAR FIN'!$A$1:$O$86,15,0))</f>
        <v>490.02</v>
      </c>
      <c r="X185" s="6">
        <f>IF(ISERROR(VLOOKUP($U$185,'TAR FIN'!$A$1:$O$86,15,0)),0,VLOOKUP($U$185,'TAR FIN'!$A$1:$O$86,15,0))</f>
        <v>116.05</v>
      </c>
      <c r="Y185" s="6"/>
      <c r="Z185" s="6">
        <f ca="1">('TUSD BE'!$AM$33+'TUSD BF'!$AM$33+'TUSD CVA'!$AM$33)*(1-CUSTOS!$M$38)</f>
        <v>629.87923328312354</v>
      </c>
      <c r="AA185" s="6">
        <f>('TE BE'!$AB$24+'TE BF'!$AB$24+'TE CVA'!$AB$24)*(1-CUSTOS!$M$38)</f>
        <v>109.44276893593884</v>
      </c>
      <c r="AB185" s="6">
        <f>$K$185*$V$185</f>
        <v>0</v>
      </c>
      <c r="AC185" s="6">
        <f>$M$185*$W$185</f>
        <v>59.782439999999994</v>
      </c>
      <c r="AD185" s="6">
        <f>$O$185*$X$185</f>
        <v>14.158099999999999</v>
      </c>
      <c r="AE185" s="6">
        <f>$K$185*$Y$185</f>
        <v>0</v>
      </c>
      <c r="AF185" s="6">
        <f ca="1">$M$185*$Z$185</f>
        <v>76.845266460541069</v>
      </c>
      <c r="AG185" s="6">
        <f>$O$185*$AA$185</f>
        <v>13.352017810184538</v>
      </c>
    </row>
    <row r="186" spans="1:33" ht="11.25" customHeight="1" x14ac:dyDescent="0.25">
      <c r="A186" s="4" t="s">
        <v>21</v>
      </c>
      <c r="B186" s="4" t="s">
        <v>41</v>
      </c>
      <c r="C186" s="4" t="s">
        <v>23</v>
      </c>
      <c r="D186" s="4" t="s">
        <v>42</v>
      </c>
      <c r="E186" s="4" t="s">
        <v>25</v>
      </c>
      <c r="F186" s="4" t="s">
        <v>25</v>
      </c>
      <c r="G186" s="4" t="s">
        <v>25</v>
      </c>
      <c r="H186" s="4" t="s">
        <v>25</v>
      </c>
      <c r="I186" s="5">
        <v>44621</v>
      </c>
      <c r="J186" s="6">
        <v>0</v>
      </c>
      <c r="K186" s="6">
        <v>0</v>
      </c>
      <c r="L186" s="6">
        <v>53.148000000000003</v>
      </c>
      <c r="M186" s="6">
        <v>53.148000000000003</v>
      </c>
      <c r="N186" s="6">
        <v>53.148000000000003</v>
      </c>
      <c r="O186" s="6">
        <v>53.148000000000003</v>
      </c>
      <c r="P186" s="6">
        <v>36</v>
      </c>
      <c r="Q186" s="4" t="s">
        <v>26</v>
      </c>
      <c r="R186" s="4">
        <v>0</v>
      </c>
      <c r="S186" s="6">
        <v>0</v>
      </c>
      <c r="T186" s="6">
        <v>51</v>
      </c>
      <c r="U186" s="6">
        <v>44</v>
      </c>
      <c r="V186" s="6">
        <f>IF(ISERROR(VLOOKUP($S$186,'TAR FIN'!$A$1:$O$86,15,0)),0,VLOOKUP($S$186,'TAR FIN'!$A$1:$O$86,15,0))</f>
        <v>0</v>
      </c>
      <c r="W186" s="6">
        <f>IF(ISERROR(VLOOKUP($T$186,'TAR FIN'!$A$1:$O$86,15,0)),0,VLOOKUP($T$186,'TAR FIN'!$A$1:$O$86,15,0))</f>
        <v>490.02</v>
      </c>
      <c r="X186" s="6">
        <f>IF(ISERROR(VLOOKUP($U$186,'TAR FIN'!$A$1:$O$86,15,0)),0,VLOOKUP($U$186,'TAR FIN'!$A$1:$O$86,15,0))</f>
        <v>116.05</v>
      </c>
      <c r="Y186" s="6"/>
      <c r="Z186" s="6">
        <f ca="1">('TUSD BE'!$AM$33+'TUSD BF'!$AM$33+'TUSD CVA'!$AM$33)*(1-CUSTOS!$M$38)</f>
        <v>629.87923328312354</v>
      </c>
      <c r="AA186" s="6">
        <f>('TE BE'!$AB$24+'TE BF'!$AB$24+'TE CVA'!$AB$24)*(1-CUSTOS!$M$38)</f>
        <v>109.44276893593884</v>
      </c>
      <c r="AB186" s="6">
        <f>$K$186*$V$186</f>
        <v>0</v>
      </c>
      <c r="AC186" s="6">
        <f>$M$186*$W$186</f>
        <v>26043.58296</v>
      </c>
      <c r="AD186" s="6">
        <f>$O$186*$X$186</f>
        <v>6167.8254000000006</v>
      </c>
      <c r="AE186" s="6">
        <f>$K$186*$Y$186</f>
        <v>0</v>
      </c>
      <c r="AF186" s="6">
        <f ca="1">$M$186*$Z$186</f>
        <v>33476.821490531453</v>
      </c>
      <c r="AG186" s="6">
        <f>$O$186*$AA$186</f>
        <v>5816.6642834072782</v>
      </c>
    </row>
    <row r="187" spans="1:33" ht="11.25" customHeight="1" x14ac:dyDescent="0.25">
      <c r="A187" s="4" t="s">
        <v>28</v>
      </c>
      <c r="B187" s="4" t="s">
        <v>41</v>
      </c>
      <c r="C187" s="4" t="s">
        <v>23</v>
      </c>
      <c r="D187" s="4" t="s">
        <v>42</v>
      </c>
      <c r="E187" s="4" t="s">
        <v>25</v>
      </c>
      <c r="F187" s="4" t="s">
        <v>25</v>
      </c>
      <c r="G187" s="4" t="s">
        <v>25</v>
      </c>
      <c r="H187" s="4" t="s">
        <v>25</v>
      </c>
      <c r="I187" s="5">
        <v>44621</v>
      </c>
      <c r="J187" s="6">
        <v>0</v>
      </c>
      <c r="K187" s="6">
        <v>0</v>
      </c>
      <c r="L187" s="6">
        <v>0.35099999999999998</v>
      </c>
      <c r="M187" s="6">
        <v>0.35099999999999998</v>
      </c>
      <c r="N187" s="6">
        <v>0.35099999999999998</v>
      </c>
      <c r="O187" s="6">
        <v>0.35099999999999998</v>
      </c>
      <c r="P187" s="6">
        <v>2</v>
      </c>
      <c r="Q187" s="4" t="s">
        <v>26</v>
      </c>
      <c r="R187" s="4">
        <v>0</v>
      </c>
      <c r="S187" s="6">
        <v>0</v>
      </c>
      <c r="T187" s="6">
        <v>51</v>
      </c>
      <c r="U187" s="6">
        <v>44</v>
      </c>
      <c r="V187" s="6">
        <f>IF(ISERROR(VLOOKUP($S$187,'TAR FIN'!$A$1:$O$86,15,0)),0,VLOOKUP($S$187,'TAR FIN'!$A$1:$O$86,15,0))</f>
        <v>0</v>
      </c>
      <c r="W187" s="6">
        <f>IF(ISERROR(VLOOKUP($T$187,'TAR FIN'!$A$1:$O$86,15,0)),0,VLOOKUP($T$187,'TAR FIN'!$A$1:$O$86,15,0))</f>
        <v>490.02</v>
      </c>
      <c r="X187" s="6">
        <f>IF(ISERROR(VLOOKUP($U$187,'TAR FIN'!$A$1:$O$86,15,0)),0,VLOOKUP($U$187,'TAR FIN'!$A$1:$O$86,15,0))</f>
        <v>116.05</v>
      </c>
      <c r="Y187" s="6"/>
      <c r="Z187" s="6">
        <f ca="1">('TUSD BE'!$AM$33+'TUSD BF'!$AM$33+'TUSD CVA'!$AM$33)*(1-CUSTOS!$M$38)</f>
        <v>629.87923328312354</v>
      </c>
      <c r="AA187" s="6">
        <f>('TE BE'!$AB$24+'TE BF'!$AB$24+'TE CVA'!$AB$24)*(1-CUSTOS!$M$38)</f>
        <v>109.44276893593884</v>
      </c>
      <c r="AB187" s="6">
        <f>$K$187*$V$187</f>
        <v>0</v>
      </c>
      <c r="AC187" s="6">
        <f>$M$187*$W$187</f>
        <v>171.99701999999999</v>
      </c>
      <c r="AD187" s="6">
        <f>$O$187*$X$187</f>
        <v>40.733549999999994</v>
      </c>
      <c r="AE187" s="6">
        <f>$K$187*$Y$187</f>
        <v>0</v>
      </c>
      <c r="AF187" s="6">
        <f ca="1">$M$187*$Z$187</f>
        <v>221.08761088237634</v>
      </c>
      <c r="AG187" s="6">
        <f>$O$187*$AA$187</f>
        <v>38.41441189651453</v>
      </c>
    </row>
    <row r="188" spans="1:33" ht="11.25" customHeight="1" x14ac:dyDescent="0.25">
      <c r="A188" s="4" t="s">
        <v>21</v>
      </c>
      <c r="B188" s="4" t="s">
        <v>41</v>
      </c>
      <c r="C188" s="4" t="s">
        <v>23</v>
      </c>
      <c r="D188" s="4" t="s">
        <v>42</v>
      </c>
      <c r="E188" s="4" t="s">
        <v>25</v>
      </c>
      <c r="F188" s="4" t="s">
        <v>25</v>
      </c>
      <c r="G188" s="4" t="s">
        <v>25</v>
      </c>
      <c r="H188" s="4" t="s">
        <v>25</v>
      </c>
      <c r="I188" s="5">
        <v>44652</v>
      </c>
      <c r="J188" s="6">
        <v>0</v>
      </c>
      <c r="K188" s="6">
        <v>0</v>
      </c>
      <c r="L188" s="6">
        <v>53.484000000000002</v>
      </c>
      <c r="M188" s="6">
        <v>53.484000000000002</v>
      </c>
      <c r="N188" s="6">
        <v>53.484000000000002</v>
      </c>
      <c r="O188" s="6">
        <v>53.484000000000002</v>
      </c>
      <c r="P188" s="6">
        <v>36</v>
      </c>
      <c r="Q188" s="4" t="s">
        <v>26</v>
      </c>
      <c r="R188" s="4">
        <v>0</v>
      </c>
      <c r="S188" s="6">
        <v>0</v>
      </c>
      <c r="T188" s="6">
        <v>51</v>
      </c>
      <c r="U188" s="6">
        <v>44</v>
      </c>
      <c r="V188" s="6">
        <f>IF(ISERROR(VLOOKUP($S$188,'TAR FIN'!$A$1:$O$86,15,0)),0,VLOOKUP($S$188,'TAR FIN'!$A$1:$O$86,15,0))</f>
        <v>0</v>
      </c>
      <c r="W188" s="6">
        <f>IF(ISERROR(VLOOKUP($T$188,'TAR FIN'!$A$1:$O$86,15,0)),0,VLOOKUP($T$188,'TAR FIN'!$A$1:$O$86,15,0))</f>
        <v>490.02</v>
      </c>
      <c r="X188" s="6">
        <f>IF(ISERROR(VLOOKUP($U$188,'TAR FIN'!$A$1:$O$86,15,0)),0,VLOOKUP($U$188,'TAR FIN'!$A$1:$O$86,15,0))</f>
        <v>116.05</v>
      </c>
      <c r="Y188" s="6"/>
      <c r="Z188" s="6">
        <f ca="1">('TUSD BE'!$AM$33+'TUSD BF'!$AM$33+'TUSD CVA'!$AM$33)*(1-CUSTOS!$M$38)</f>
        <v>629.87923328312354</v>
      </c>
      <c r="AA188" s="6">
        <f>('TE BE'!$AB$24+'TE BF'!$AB$24+'TE CVA'!$AB$24)*(1-CUSTOS!$M$38)</f>
        <v>109.44276893593884</v>
      </c>
      <c r="AB188" s="6">
        <f>$K$188*$V$188</f>
        <v>0</v>
      </c>
      <c r="AC188" s="6">
        <f>$M$188*$W$188</f>
        <v>26208.22968</v>
      </c>
      <c r="AD188" s="6">
        <f>$O$188*$X$188</f>
        <v>6206.8181999999997</v>
      </c>
      <c r="AE188" s="6">
        <f>$K$188*$Y$188</f>
        <v>0</v>
      </c>
      <c r="AF188" s="6">
        <f ca="1">$M$188*$Z$188</f>
        <v>33688.460912914583</v>
      </c>
      <c r="AG188" s="6">
        <f>$O$188*$AA$188</f>
        <v>5853.4370537697532</v>
      </c>
    </row>
    <row r="189" spans="1:33" ht="11.25" customHeight="1" x14ac:dyDescent="0.25">
      <c r="A189" s="4" t="s">
        <v>28</v>
      </c>
      <c r="B189" s="4" t="s">
        <v>41</v>
      </c>
      <c r="C189" s="4" t="s">
        <v>23</v>
      </c>
      <c r="D189" s="4" t="s">
        <v>42</v>
      </c>
      <c r="E189" s="4" t="s">
        <v>25</v>
      </c>
      <c r="F189" s="4" t="s">
        <v>25</v>
      </c>
      <c r="G189" s="4" t="s">
        <v>25</v>
      </c>
      <c r="H189" s="4" t="s">
        <v>25</v>
      </c>
      <c r="I189" s="5">
        <v>44652</v>
      </c>
      <c r="J189" s="6">
        <v>0</v>
      </c>
      <c r="K189" s="6">
        <v>0</v>
      </c>
      <c r="L189" s="6">
        <v>0.42</v>
      </c>
      <c r="M189" s="6">
        <v>0.42</v>
      </c>
      <c r="N189" s="6">
        <v>0.42</v>
      </c>
      <c r="O189" s="6">
        <v>0.42</v>
      </c>
      <c r="P189" s="6">
        <v>2</v>
      </c>
      <c r="Q189" s="4" t="s">
        <v>26</v>
      </c>
      <c r="R189" s="4">
        <v>0</v>
      </c>
      <c r="S189" s="6">
        <v>0</v>
      </c>
      <c r="T189" s="6">
        <v>51</v>
      </c>
      <c r="U189" s="6">
        <v>44</v>
      </c>
      <c r="V189" s="6">
        <f>IF(ISERROR(VLOOKUP($S$189,'TAR FIN'!$A$1:$O$86,15,0)),0,VLOOKUP($S$189,'TAR FIN'!$A$1:$O$86,15,0))</f>
        <v>0</v>
      </c>
      <c r="W189" s="6">
        <f>IF(ISERROR(VLOOKUP($T$189,'TAR FIN'!$A$1:$O$86,15,0)),0,VLOOKUP($T$189,'TAR FIN'!$A$1:$O$86,15,0))</f>
        <v>490.02</v>
      </c>
      <c r="X189" s="6">
        <f>IF(ISERROR(VLOOKUP($U$189,'TAR FIN'!$A$1:$O$86,15,0)),0,VLOOKUP($U$189,'TAR FIN'!$A$1:$O$86,15,0))</f>
        <v>116.05</v>
      </c>
      <c r="Y189" s="6"/>
      <c r="Z189" s="6">
        <f ca="1">('TUSD BE'!$AM$33+'TUSD BF'!$AM$33+'TUSD CVA'!$AM$33)*(1-CUSTOS!$M$38)</f>
        <v>629.87923328312354</v>
      </c>
      <c r="AA189" s="6">
        <f>('TE BE'!$AB$24+'TE BF'!$AB$24+'TE CVA'!$AB$24)*(1-CUSTOS!$M$38)</f>
        <v>109.44276893593884</v>
      </c>
      <c r="AB189" s="6">
        <f>$K$189*$V$189</f>
        <v>0</v>
      </c>
      <c r="AC189" s="6">
        <f>$M$189*$W$189</f>
        <v>205.80839999999998</v>
      </c>
      <c r="AD189" s="6">
        <f>$O$189*$X$189</f>
        <v>48.741</v>
      </c>
      <c r="AE189" s="6">
        <f>$K$189*$Y$189</f>
        <v>0</v>
      </c>
      <c r="AF189" s="6">
        <f ca="1">$M$189*$Z$189</f>
        <v>264.5492779789119</v>
      </c>
      <c r="AG189" s="6">
        <f>$O$189*$AA$189</f>
        <v>45.965962953094312</v>
      </c>
    </row>
    <row r="190" spans="1:33" ht="11.25" customHeight="1" x14ac:dyDescent="0.25">
      <c r="A190" s="4" t="s">
        <v>21</v>
      </c>
      <c r="B190" s="4" t="s">
        <v>41</v>
      </c>
      <c r="C190" s="4" t="s">
        <v>23</v>
      </c>
      <c r="D190" s="4" t="s">
        <v>42</v>
      </c>
      <c r="E190" s="4" t="s">
        <v>25</v>
      </c>
      <c r="F190" s="4" t="s">
        <v>25</v>
      </c>
      <c r="G190" s="4" t="s">
        <v>25</v>
      </c>
      <c r="H190" s="4" t="s">
        <v>25</v>
      </c>
      <c r="I190" s="5">
        <v>44682</v>
      </c>
      <c r="J190" s="6">
        <v>0</v>
      </c>
      <c r="K190" s="6">
        <v>0</v>
      </c>
      <c r="L190" s="6">
        <v>53.984999999999999</v>
      </c>
      <c r="M190" s="6">
        <v>53.984999999999999</v>
      </c>
      <c r="N190" s="6">
        <v>53.984999999999999</v>
      </c>
      <c r="O190" s="6">
        <v>53.984999999999999</v>
      </c>
      <c r="P190" s="6">
        <v>35</v>
      </c>
      <c r="Q190" s="4" t="s">
        <v>26</v>
      </c>
      <c r="R190" s="4">
        <v>0</v>
      </c>
      <c r="S190" s="6">
        <v>0</v>
      </c>
      <c r="T190" s="6">
        <v>51</v>
      </c>
      <c r="U190" s="6">
        <v>44</v>
      </c>
      <c r="V190" s="6">
        <f>IF(ISERROR(VLOOKUP($S$190,'TAR FIN'!$A$1:$O$86,15,0)),0,VLOOKUP($S$190,'TAR FIN'!$A$1:$O$86,15,0))</f>
        <v>0</v>
      </c>
      <c r="W190" s="6">
        <f>IF(ISERROR(VLOOKUP($T$190,'TAR FIN'!$A$1:$O$86,15,0)),0,VLOOKUP($T$190,'TAR FIN'!$A$1:$O$86,15,0))</f>
        <v>490.02</v>
      </c>
      <c r="X190" s="6">
        <f>IF(ISERROR(VLOOKUP($U$190,'TAR FIN'!$A$1:$O$86,15,0)),0,VLOOKUP($U$190,'TAR FIN'!$A$1:$O$86,15,0))</f>
        <v>116.05</v>
      </c>
      <c r="Y190" s="6"/>
      <c r="Z190" s="6">
        <f ca="1">('TUSD BE'!$AM$33+'TUSD BF'!$AM$33+'TUSD CVA'!$AM$33)*(1-CUSTOS!$M$38)</f>
        <v>629.87923328312354</v>
      </c>
      <c r="AA190" s="6">
        <f>('TE BE'!$AB$24+'TE BF'!$AB$24+'TE CVA'!$AB$24)*(1-CUSTOS!$M$38)</f>
        <v>109.44276893593884</v>
      </c>
      <c r="AB190" s="6">
        <f>$K$190*$V$190</f>
        <v>0</v>
      </c>
      <c r="AC190" s="6">
        <f>$M$190*$W$190</f>
        <v>26453.7297</v>
      </c>
      <c r="AD190" s="6">
        <f>$O$190*$X$190</f>
        <v>6264.9592499999999</v>
      </c>
      <c r="AE190" s="6">
        <f>$K$190*$Y$190</f>
        <v>0</v>
      </c>
      <c r="AF190" s="6">
        <f ca="1">$M$190*$Z$190</f>
        <v>34004.030408789426</v>
      </c>
      <c r="AG190" s="6">
        <f>$O$190*$AA$190</f>
        <v>5908.2678810066582</v>
      </c>
    </row>
    <row r="191" spans="1:33" ht="11.25" customHeight="1" x14ac:dyDescent="0.25">
      <c r="A191" s="4" t="s">
        <v>28</v>
      </c>
      <c r="B191" s="4" t="s">
        <v>41</v>
      </c>
      <c r="C191" s="4" t="s">
        <v>23</v>
      </c>
      <c r="D191" s="4" t="s">
        <v>42</v>
      </c>
      <c r="E191" s="4" t="s">
        <v>25</v>
      </c>
      <c r="F191" s="4" t="s">
        <v>25</v>
      </c>
      <c r="G191" s="4" t="s">
        <v>25</v>
      </c>
      <c r="H191" s="4" t="s">
        <v>25</v>
      </c>
      <c r="I191" s="5">
        <v>44682</v>
      </c>
      <c r="J191" s="6">
        <v>0</v>
      </c>
      <c r="K191" s="6">
        <v>0</v>
      </c>
      <c r="L191" s="6">
        <v>0.63</v>
      </c>
      <c r="M191" s="6">
        <v>0.63</v>
      </c>
      <c r="N191" s="6">
        <v>0.63</v>
      </c>
      <c r="O191" s="6">
        <v>0.63</v>
      </c>
      <c r="P191" s="6">
        <v>3</v>
      </c>
      <c r="Q191" s="4" t="s">
        <v>26</v>
      </c>
      <c r="R191" s="4">
        <v>0</v>
      </c>
      <c r="S191" s="6">
        <v>0</v>
      </c>
      <c r="T191" s="6">
        <v>51</v>
      </c>
      <c r="U191" s="6">
        <v>44</v>
      </c>
      <c r="V191" s="6">
        <f>IF(ISERROR(VLOOKUP($S$191,'TAR FIN'!$A$1:$O$86,15,0)),0,VLOOKUP($S$191,'TAR FIN'!$A$1:$O$86,15,0))</f>
        <v>0</v>
      </c>
      <c r="W191" s="6">
        <f>IF(ISERROR(VLOOKUP($T$191,'TAR FIN'!$A$1:$O$86,15,0)),0,VLOOKUP($T$191,'TAR FIN'!$A$1:$O$86,15,0))</f>
        <v>490.02</v>
      </c>
      <c r="X191" s="6">
        <f>IF(ISERROR(VLOOKUP($U$191,'TAR FIN'!$A$1:$O$86,15,0)),0,VLOOKUP($U$191,'TAR FIN'!$A$1:$O$86,15,0))</f>
        <v>116.05</v>
      </c>
      <c r="Y191" s="6"/>
      <c r="Z191" s="6">
        <f ca="1">('TUSD BE'!$AM$33+'TUSD BF'!$AM$33+'TUSD CVA'!$AM$33)*(1-CUSTOS!$M$38)</f>
        <v>629.87923328312354</v>
      </c>
      <c r="AA191" s="6">
        <f>('TE BE'!$AB$24+'TE BF'!$AB$24+'TE CVA'!$AB$24)*(1-CUSTOS!$M$38)</f>
        <v>109.44276893593884</v>
      </c>
      <c r="AB191" s="6">
        <f>$K$191*$V$191</f>
        <v>0</v>
      </c>
      <c r="AC191" s="6">
        <f>$M$191*$W$191</f>
        <v>308.71260000000001</v>
      </c>
      <c r="AD191" s="6">
        <f>$O$191*$X$191</f>
        <v>73.111499999999992</v>
      </c>
      <c r="AE191" s="6">
        <f>$K$191*$Y$191</f>
        <v>0</v>
      </c>
      <c r="AF191" s="6">
        <f ca="1">$M$191*$Z$191</f>
        <v>396.82391696836783</v>
      </c>
      <c r="AG191" s="6">
        <f>$O$191*$AA$191</f>
        <v>68.948944429641472</v>
      </c>
    </row>
    <row r="192" spans="1:33" ht="11.25" customHeight="1" x14ac:dyDescent="0.25">
      <c r="A192" s="4" t="s">
        <v>21</v>
      </c>
      <c r="B192" s="4" t="s">
        <v>41</v>
      </c>
      <c r="C192" s="4" t="s">
        <v>23</v>
      </c>
      <c r="D192" s="4" t="s">
        <v>42</v>
      </c>
      <c r="E192" s="4" t="s">
        <v>25</v>
      </c>
      <c r="F192" s="4" t="s">
        <v>25</v>
      </c>
      <c r="G192" s="4" t="s">
        <v>25</v>
      </c>
      <c r="H192" s="4" t="s">
        <v>25</v>
      </c>
      <c r="I192" s="5">
        <v>44713</v>
      </c>
      <c r="J192" s="6">
        <v>0</v>
      </c>
      <c r="K192" s="6">
        <v>0</v>
      </c>
      <c r="L192" s="6">
        <v>54.271000000000001</v>
      </c>
      <c r="M192" s="6">
        <v>54.271000000000001</v>
      </c>
      <c r="N192" s="6">
        <v>54.271000000000001</v>
      </c>
      <c r="O192" s="6">
        <v>54.271000000000001</v>
      </c>
      <c r="P192" s="6">
        <v>35</v>
      </c>
      <c r="Q192" s="4" t="s">
        <v>26</v>
      </c>
      <c r="R192" s="4">
        <v>0</v>
      </c>
      <c r="S192" s="6">
        <v>0</v>
      </c>
      <c r="T192" s="6">
        <v>51</v>
      </c>
      <c r="U192" s="6">
        <v>44</v>
      </c>
      <c r="V192" s="6">
        <f>IF(ISERROR(VLOOKUP($S$192,'TAR FIN'!$A$1:$O$86,15,0)),0,VLOOKUP($S$192,'TAR FIN'!$A$1:$O$86,15,0))</f>
        <v>0</v>
      </c>
      <c r="W192" s="6">
        <f>IF(ISERROR(VLOOKUP($T$192,'TAR FIN'!$A$1:$O$86,15,0)),0,VLOOKUP($T$192,'TAR FIN'!$A$1:$O$86,15,0))</f>
        <v>490.02</v>
      </c>
      <c r="X192" s="6">
        <f>IF(ISERROR(VLOOKUP($U$192,'TAR FIN'!$A$1:$O$86,15,0)),0,VLOOKUP($U$192,'TAR FIN'!$A$1:$O$86,15,0))</f>
        <v>116.05</v>
      </c>
      <c r="Y192" s="6"/>
      <c r="Z192" s="6">
        <f ca="1">('TUSD BE'!$AM$33+'TUSD BF'!$AM$33+'TUSD CVA'!$AM$33)*(1-CUSTOS!$M$38)</f>
        <v>629.87923328312354</v>
      </c>
      <c r="AA192" s="6">
        <f>('TE BE'!$AB$24+'TE BF'!$AB$24+'TE CVA'!$AB$24)*(1-CUSTOS!$M$38)</f>
        <v>109.44276893593884</v>
      </c>
      <c r="AB192" s="6">
        <f>$K$192*$V$192</f>
        <v>0</v>
      </c>
      <c r="AC192" s="6">
        <f>$M$192*$W$192</f>
        <v>26593.87542</v>
      </c>
      <c r="AD192" s="6">
        <f>$O$192*$X$192</f>
        <v>6298.1495500000001</v>
      </c>
      <c r="AE192" s="6">
        <f>$K$192*$Y$192</f>
        <v>0</v>
      </c>
      <c r="AF192" s="6">
        <f ca="1">$M$192*$Z$192</f>
        <v>34184.175869508399</v>
      </c>
      <c r="AG192" s="6">
        <f>$O$192*$AA$192</f>
        <v>5939.5685129223375</v>
      </c>
    </row>
    <row r="193" spans="1:33" ht="11.25" customHeight="1" x14ac:dyDescent="0.25">
      <c r="A193" s="4" t="s">
        <v>28</v>
      </c>
      <c r="B193" s="4" t="s">
        <v>41</v>
      </c>
      <c r="C193" s="4" t="s">
        <v>23</v>
      </c>
      <c r="D193" s="4" t="s">
        <v>42</v>
      </c>
      <c r="E193" s="4" t="s">
        <v>25</v>
      </c>
      <c r="F193" s="4" t="s">
        <v>25</v>
      </c>
      <c r="G193" s="4" t="s">
        <v>25</v>
      </c>
      <c r="H193" s="4" t="s">
        <v>25</v>
      </c>
      <c r="I193" s="5">
        <v>44713</v>
      </c>
      <c r="J193" s="6">
        <v>0</v>
      </c>
      <c r="K193" s="6">
        <v>0</v>
      </c>
      <c r="L193" s="6">
        <v>0.56699999999999995</v>
      </c>
      <c r="M193" s="6">
        <v>0.56699999999999995</v>
      </c>
      <c r="N193" s="6">
        <v>0.56699999999999995</v>
      </c>
      <c r="O193" s="6">
        <v>0.56699999999999995</v>
      </c>
      <c r="P193" s="6">
        <v>3</v>
      </c>
      <c r="Q193" s="4" t="s">
        <v>26</v>
      </c>
      <c r="R193" s="4">
        <v>0</v>
      </c>
      <c r="S193" s="6">
        <v>0</v>
      </c>
      <c r="T193" s="6">
        <v>51</v>
      </c>
      <c r="U193" s="6">
        <v>44</v>
      </c>
      <c r="V193" s="6">
        <f>IF(ISERROR(VLOOKUP($S$193,'TAR FIN'!$A$1:$O$86,15,0)),0,VLOOKUP($S$193,'TAR FIN'!$A$1:$O$86,15,0))</f>
        <v>0</v>
      </c>
      <c r="W193" s="6">
        <f>IF(ISERROR(VLOOKUP($T$193,'TAR FIN'!$A$1:$O$86,15,0)),0,VLOOKUP($T$193,'TAR FIN'!$A$1:$O$86,15,0))</f>
        <v>490.02</v>
      </c>
      <c r="X193" s="6">
        <f>IF(ISERROR(VLOOKUP($U$193,'TAR FIN'!$A$1:$O$86,15,0)),0,VLOOKUP($U$193,'TAR FIN'!$A$1:$O$86,15,0))</f>
        <v>116.05</v>
      </c>
      <c r="Y193" s="6"/>
      <c r="Z193" s="6">
        <f ca="1">('TUSD BE'!$AM$33+'TUSD BF'!$AM$33+'TUSD CVA'!$AM$33)*(1-CUSTOS!$M$38)</f>
        <v>629.87923328312354</v>
      </c>
      <c r="AA193" s="6">
        <f>('TE BE'!$AB$24+'TE BF'!$AB$24+'TE CVA'!$AB$24)*(1-CUSTOS!$M$38)</f>
        <v>109.44276893593884</v>
      </c>
      <c r="AB193" s="6">
        <f>$K$193*$V$193</f>
        <v>0</v>
      </c>
      <c r="AC193" s="6">
        <f>$M$193*$W$193</f>
        <v>277.84133999999995</v>
      </c>
      <c r="AD193" s="6">
        <f>$O$193*$X$193</f>
        <v>65.800349999999995</v>
      </c>
      <c r="AE193" s="6">
        <f>$K$193*$Y$193</f>
        <v>0</v>
      </c>
      <c r="AF193" s="6">
        <f ca="1">$M$193*$Z$193</f>
        <v>357.14152527153101</v>
      </c>
      <c r="AG193" s="6">
        <f>$O$193*$AA$193</f>
        <v>62.05404998667732</v>
      </c>
    </row>
    <row r="194" spans="1:33" ht="11.25" customHeight="1" x14ac:dyDescent="0.25">
      <c r="A194" s="4" t="s">
        <v>21</v>
      </c>
      <c r="B194" s="4" t="s">
        <v>37</v>
      </c>
      <c r="C194" s="4" t="s">
        <v>23</v>
      </c>
      <c r="D194" s="4" t="s">
        <v>38</v>
      </c>
      <c r="E194" s="4" t="s">
        <v>25</v>
      </c>
      <c r="F194" s="4" t="s">
        <v>25</v>
      </c>
      <c r="G194" s="4" t="s">
        <v>25</v>
      </c>
      <c r="H194" s="4" t="s">
        <v>25</v>
      </c>
      <c r="I194" s="5">
        <v>44378</v>
      </c>
      <c r="J194" s="6">
        <v>0</v>
      </c>
      <c r="K194" s="6">
        <v>0</v>
      </c>
      <c r="L194" s="6">
        <v>99.745999999999995</v>
      </c>
      <c r="M194" s="6">
        <v>99.745999999999995</v>
      </c>
      <c r="N194" s="6">
        <v>99.745999999999995</v>
      </c>
      <c r="O194" s="6">
        <v>99.745999999999995</v>
      </c>
      <c r="P194" s="6">
        <v>88</v>
      </c>
      <c r="Q194" s="4" t="s">
        <v>26</v>
      </c>
      <c r="R194" s="4">
        <v>0</v>
      </c>
      <c r="S194" s="6">
        <v>0</v>
      </c>
      <c r="T194" s="6">
        <v>40</v>
      </c>
      <c r="U194" s="6">
        <v>83</v>
      </c>
      <c r="V194" s="6">
        <f>IF(ISERROR(VLOOKUP($S$194,'TAR FIN'!$A$1:$O$86,15,0)),0,VLOOKUP($S$194,'TAR FIN'!$A$1:$O$86,15,0))</f>
        <v>0</v>
      </c>
      <c r="W194" s="6">
        <f>IF(ISERROR(VLOOKUP($T$194,'TAR FIN'!$A$1:$O$86,15,0)),0,VLOOKUP($T$194,'TAR FIN'!$A$1:$O$86,15,0))</f>
        <v>556.84</v>
      </c>
      <c r="X194" s="6">
        <f>IF(ISERROR(VLOOKUP($U$194,'TAR FIN'!$A$1:$O$86,15,0)),0,VLOOKUP($U$194,'TAR FIN'!$A$1:$O$86,15,0))</f>
        <v>131.87</v>
      </c>
      <c r="Y194" s="6"/>
      <c r="Z194" s="6">
        <f ca="1">('TUSD BE'!$AM$48+'TUSD BF'!$AM$48+'TUSD CVA'!$AM$48)*1</f>
        <v>670.0842907267272</v>
      </c>
      <c r="AA194" s="6">
        <f>('TE BE'!$AB$39+'TE BF'!$AB$39+'TE CVA'!$AB$39)*1</f>
        <v>116.42847759142431</v>
      </c>
      <c r="AB194" s="6">
        <f>$K$194*$V$194</f>
        <v>0</v>
      </c>
      <c r="AC194" s="6">
        <f>$M$194*$W$194</f>
        <v>55542.562640000004</v>
      </c>
      <c r="AD194" s="6">
        <f>$O$194*$X$194</f>
        <v>13153.505020000001</v>
      </c>
      <c r="AE194" s="6">
        <f>$K$194*$Y$194</f>
        <v>0</v>
      </c>
      <c r="AF194" s="6">
        <f ca="1">$M$194*$Z$194</f>
        <v>66838.227662828125</v>
      </c>
      <c r="AG194" s="6">
        <f>$O$194*$AA$194</f>
        <v>11613.274925834208</v>
      </c>
    </row>
    <row r="195" spans="1:33" ht="11.25" customHeight="1" x14ac:dyDescent="0.25">
      <c r="A195" s="4" t="s">
        <v>21</v>
      </c>
      <c r="B195" s="4" t="s">
        <v>37</v>
      </c>
      <c r="C195" s="4" t="s">
        <v>23</v>
      </c>
      <c r="D195" s="4" t="s">
        <v>38</v>
      </c>
      <c r="E195" s="4" t="s">
        <v>25</v>
      </c>
      <c r="F195" s="4" t="s">
        <v>25</v>
      </c>
      <c r="G195" s="4" t="s">
        <v>25</v>
      </c>
      <c r="H195" s="4" t="s">
        <v>25</v>
      </c>
      <c r="I195" s="5">
        <v>44409</v>
      </c>
      <c r="J195" s="6">
        <v>0</v>
      </c>
      <c r="K195" s="6">
        <v>0</v>
      </c>
      <c r="L195" s="6">
        <v>122.646</v>
      </c>
      <c r="M195" s="6">
        <v>122.646</v>
      </c>
      <c r="N195" s="6">
        <v>122.646</v>
      </c>
      <c r="O195" s="6">
        <v>122.646</v>
      </c>
      <c r="P195" s="6">
        <v>88</v>
      </c>
      <c r="Q195" s="4" t="s">
        <v>26</v>
      </c>
      <c r="R195" s="4">
        <v>0</v>
      </c>
      <c r="S195" s="6">
        <v>0</v>
      </c>
      <c r="T195" s="6">
        <v>40</v>
      </c>
      <c r="U195" s="6">
        <v>83</v>
      </c>
      <c r="V195" s="6">
        <f>IF(ISERROR(VLOOKUP($S$195,'TAR FIN'!$A$1:$O$86,15,0)),0,VLOOKUP($S$195,'TAR FIN'!$A$1:$O$86,15,0))</f>
        <v>0</v>
      </c>
      <c r="W195" s="6">
        <f>IF(ISERROR(VLOOKUP($T$195,'TAR FIN'!$A$1:$O$86,15,0)),0,VLOOKUP($T$195,'TAR FIN'!$A$1:$O$86,15,0))</f>
        <v>556.84</v>
      </c>
      <c r="X195" s="6">
        <f>IF(ISERROR(VLOOKUP($U$195,'TAR FIN'!$A$1:$O$86,15,0)),0,VLOOKUP($U$195,'TAR FIN'!$A$1:$O$86,15,0))</f>
        <v>131.87</v>
      </c>
      <c r="Y195" s="6"/>
      <c r="Z195" s="6">
        <f ca="1">('TUSD BE'!$AM$48+'TUSD BF'!$AM$48+'TUSD CVA'!$AM$48)*1</f>
        <v>670.0842907267272</v>
      </c>
      <c r="AA195" s="6">
        <f>('TE BE'!$AB$39+'TE BF'!$AB$39+'TE CVA'!$AB$39)*1</f>
        <v>116.42847759142431</v>
      </c>
      <c r="AB195" s="6">
        <f>$K$195*$V$195</f>
        <v>0</v>
      </c>
      <c r="AC195" s="6">
        <f>$M$195*$W$195</f>
        <v>68294.198640000002</v>
      </c>
      <c r="AD195" s="6">
        <f>$O$195*$X$195</f>
        <v>16173.328020000001</v>
      </c>
      <c r="AE195" s="6">
        <f>$K$195*$Y$195</f>
        <v>0</v>
      </c>
      <c r="AF195" s="6">
        <f ca="1">$M$195*$Z$195</f>
        <v>82183.157920470185</v>
      </c>
      <c r="AG195" s="6">
        <f>$O$195*$AA$195</f>
        <v>14279.487062677827</v>
      </c>
    </row>
    <row r="196" spans="1:33" ht="11.25" customHeight="1" x14ac:dyDescent="0.25">
      <c r="A196" s="4" t="s">
        <v>21</v>
      </c>
      <c r="B196" s="4" t="s">
        <v>37</v>
      </c>
      <c r="C196" s="4" t="s">
        <v>23</v>
      </c>
      <c r="D196" s="4" t="s">
        <v>38</v>
      </c>
      <c r="E196" s="4" t="s">
        <v>25</v>
      </c>
      <c r="F196" s="4" t="s">
        <v>25</v>
      </c>
      <c r="G196" s="4" t="s">
        <v>25</v>
      </c>
      <c r="H196" s="4" t="s">
        <v>25</v>
      </c>
      <c r="I196" s="5">
        <v>44440</v>
      </c>
      <c r="J196" s="6">
        <v>0</v>
      </c>
      <c r="K196" s="6">
        <v>0</v>
      </c>
      <c r="L196" s="6">
        <v>134.47900000000001</v>
      </c>
      <c r="M196" s="6">
        <v>134.47900000000001</v>
      </c>
      <c r="N196" s="6">
        <v>134.47900000000001</v>
      </c>
      <c r="O196" s="6">
        <v>134.47900000000001</v>
      </c>
      <c r="P196" s="6">
        <v>88</v>
      </c>
      <c r="Q196" s="4" t="s">
        <v>26</v>
      </c>
      <c r="R196" s="4">
        <v>0</v>
      </c>
      <c r="S196" s="6">
        <v>0</v>
      </c>
      <c r="T196" s="6">
        <v>40</v>
      </c>
      <c r="U196" s="6">
        <v>83</v>
      </c>
      <c r="V196" s="6">
        <f>IF(ISERROR(VLOOKUP($S$196,'TAR FIN'!$A$1:$O$86,15,0)),0,VLOOKUP($S$196,'TAR FIN'!$A$1:$O$86,15,0))</f>
        <v>0</v>
      </c>
      <c r="W196" s="6">
        <f>IF(ISERROR(VLOOKUP($T$196,'TAR FIN'!$A$1:$O$86,15,0)),0,VLOOKUP($T$196,'TAR FIN'!$A$1:$O$86,15,0))</f>
        <v>556.84</v>
      </c>
      <c r="X196" s="6">
        <f>IF(ISERROR(VLOOKUP($U$196,'TAR FIN'!$A$1:$O$86,15,0)),0,VLOOKUP($U$196,'TAR FIN'!$A$1:$O$86,15,0))</f>
        <v>131.87</v>
      </c>
      <c r="Y196" s="6"/>
      <c r="Z196" s="6">
        <f ca="1">('TUSD BE'!$AM$48+'TUSD BF'!$AM$48+'TUSD CVA'!$AM$48)*1</f>
        <v>670.0842907267272</v>
      </c>
      <c r="AA196" s="6">
        <f>('TE BE'!$AB$39+'TE BF'!$AB$39+'TE CVA'!$AB$39)*1</f>
        <v>116.42847759142431</v>
      </c>
      <c r="AB196" s="6">
        <f>$K$196*$V$196</f>
        <v>0</v>
      </c>
      <c r="AC196" s="6">
        <f>$M$196*$W$196</f>
        <v>74883.286360000013</v>
      </c>
      <c r="AD196" s="6">
        <f>$O$196*$X$196</f>
        <v>17733.745730000002</v>
      </c>
      <c r="AE196" s="6">
        <f>$K$196*$Y$196</f>
        <v>0</v>
      </c>
      <c r="AF196" s="6">
        <f ca="1">$M$196*$Z$196</f>
        <v>90112.265332639552</v>
      </c>
      <c r="AG196" s="6">
        <f>$O$196*$AA$196</f>
        <v>15657.185238017151</v>
      </c>
    </row>
    <row r="197" spans="1:33" ht="11.25" customHeight="1" x14ac:dyDescent="0.25">
      <c r="A197" s="4" t="s">
        <v>21</v>
      </c>
      <c r="B197" s="4" t="s">
        <v>37</v>
      </c>
      <c r="C197" s="4" t="s">
        <v>23</v>
      </c>
      <c r="D197" s="4" t="s">
        <v>38</v>
      </c>
      <c r="E197" s="4" t="s">
        <v>25</v>
      </c>
      <c r="F197" s="4" t="s">
        <v>25</v>
      </c>
      <c r="G197" s="4" t="s">
        <v>25</v>
      </c>
      <c r="H197" s="4" t="s">
        <v>25</v>
      </c>
      <c r="I197" s="5">
        <v>44470</v>
      </c>
      <c r="J197" s="6">
        <v>0</v>
      </c>
      <c r="K197" s="6">
        <v>0</v>
      </c>
      <c r="L197" s="6">
        <v>128.13</v>
      </c>
      <c r="M197" s="6">
        <v>128.13</v>
      </c>
      <c r="N197" s="6">
        <v>128.13</v>
      </c>
      <c r="O197" s="6">
        <v>128.13</v>
      </c>
      <c r="P197" s="6">
        <v>88</v>
      </c>
      <c r="Q197" s="4" t="s">
        <v>26</v>
      </c>
      <c r="R197" s="4">
        <v>0</v>
      </c>
      <c r="S197" s="6">
        <v>0</v>
      </c>
      <c r="T197" s="6">
        <v>40</v>
      </c>
      <c r="U197" s="6">
        <v>83</v>
      </c>
      <c r="V197" s="6">
        <f>IF(ISERROR(VLOOKUP($S$197,'TAR FIN'!$A$1:$O$86,15,0)),0,VLOOKUP($S$197,'TAR FIN'!$A$1:$O$86,15,0))</f>
        <v>0</v>
      </c>
      <c r="W197" s="6">
        <f>IF(ISERROR(VLOOKUP($T$197,'TAR FIN'!$A$1:$O$86,15,0)),0,VLOOKUP($T$197,'TAR FIN'!$A$1:$O$86,15,0))</f>
        <v>556.84</v>
      </c>
      <c r="X197" s="6">
        <f>IF(ISERROR(VLOOKUP($U$197,'TAR FIN'!$A$1:$O$86,15,0)),0,VLOOKUP($U$197,'TAR FIN'!$A$1:$O$86,15,0))</f>
        <v>131.87</v>
      </c>
      <c r="Y197" s="6"/>
      <c r="Z197" s="6">
        <f ca="1">('TUSD BE'!$AM$48+'TUSD BF'!$AM$48+'TUSD CVA'!$AM$48)*1</f>
        <v>670.0842907267272</v>
      </c>
      <c r="AA197" s="6">
        <f>('TE BE'!$AB$39+'TE BF'!$AB$39+'TE CVA'!$AB$39)*1</f>
        <v>116.42847759142431</v>
      </c>
      <c r="AB197" s="6">
        <f>$K$197*$V$197</f>
        <v>0</v>
      </c>
      <c r="AC197" s="6">
        <f>$M$197*$W$197</f>
        <v>71347.909199999995</v>
      </c>
      <c r="AD197" s="6">
        <f>$O$197*$X$197</f>
        <v>16896.503100000002</v>
      </c>
      <c r="AE197" s="6">
        <f>$K$197*$Y$197</f>
        <v>0</v>
      </c>
      <c r="AF197" s="6">
        <f ca="1">$M$197*$Z$197</f>
        <v>85857.900170815556</v>
      </c>
      <c r="AG197" s="6">
        <f>$O$197*$AA$197</f>
        <v>14917.980833789197</v>
      </c>
    </row>
    <row r="198" spans="1:33" ht="11.25" customHeight="1" x14ac:dyDescent="0.25">
      <c r="A198" s="4" t="s">
        <v>21</v>
      </c>
      <c r="B198" s="4" t="s">
        <v>37</v>
      </c>
      <c r="C198" s="4" t="s">
        <v>23</v>
      </c>
      <c r="D198" s="4" t="s">
        <v>38</v>
      </c>
      <c r="E198" s="4" t="s">
        <v>25</v>
      </c>
      <c r="F198" s="4" t="s">
        <v>25</v>
      </c>
      <c r="G198" s="4" t="s">
        <v>25</v>
      </c>
      <c r="H198" s="4" t="s">
        <v>25</v>
      </c>
      <c r="I198" s="5">
        <v>44501</v>
      </c>
      <c r="J198" s="6">
        <v>0</v>
      </c>
      <c r="K198" s="6">
        <v>0</v>
      </c>
      <c r="L198" s="6">
        <v>96.647000000000006</v>
      </c>
      <c r="M198" s="6">
        <v>96.647000000000006</v>
      </c>
      <c r="N198" s="6">
        <v>96.647000000000006</v>
      </c>
      <c r="O198" s="6">
        <v>96.647000000000006</v>
      </c>
      <c r="P198" s="6">
        <v>86</v>
      </c>
      <c r="Q198" s="4" t="s">
        <v>26</v>
      </c>
      <c r="R198" s="4">
        <v>0</v>
      </c>
      <c r="S198" s="6">
        <v>0</v>
      </c>
      <c r="T198" s="6">
        <v>40</v>
      </c>
      <c r="U198" s="6">
        <v>83</v>
      </c>
      <c r="V198" s="6">
        <f>IF(ISERROR(VLOOKUP($S$198,'TAR FIN'!$A$1:$O$86,15,0)),0,VLOOKUP($S$198,'TAR FIN'!$A$1:$O$86,15,0))</f>
        <v>0</v>
      </c>
      <c r="W198" s="6">
        <f>IF(ISERROR(VLOOKUP($T$198,'TAR FIN'!$A$1:$O$86,15,0)),0,VLOOKUP($T$198,'TAR FIN'!$A$1:$O$86,15,0))</f>
        <v>556.84</v>
      </c>
      <c r="X198" s="6">
        <f>IF(ISERROR(VLOOKUP($U$198,'TAR FIN'!$A$1:$O$86,15,0)),0,VLOOKUP($U$198,'TAR FIN'!$A$1:$O$86,15,0))</f>
        <v>131.87</v>
      </c>
      <c r="Y198" s="6"/>
      <c r="Z198" s="6">
        <f ca="1">('TUSD BE'!$AM$48+'TUSD BF'!$AM$48+'TUSD CVA'!$AM$48)*1</f>
        <v>670.0842907267272</v>
      </c>
      <c r="AA198" s="6">
        <f>('TE BE'!$AB$39+'TE BF'!$AB$39+'TE CVA'!$AB$39)*1</f>
        <v>116.42847759142431</v>
      </c>
      <c r="AB198" s="6">
        <f>$K$198*$V$198</f>
        <v>0</v>
      </c>
      <c r="AC198" s="6">
        <f>$M$198*$W$198</f>
        <v>53816.915480000003</v>
      </c>
      <c r="AD198" s="6">
        <f>$O$198*$X$198</f>
        <v>12744.839890000001</v>
      </c>
      <c r="AE198" s="6">
        <f>$K$198*$Y$198</f>
        <v>0</v>
      </c>
      <c r="AF198" s="6">
        <f ca="1">$M$198*$Z$198</f>
        <v>64761.63644586601</v>
      </c>
      <c r="AG198" s="6">
        <f>$O$198*$AA$198</f>
        <v>11252.463073778386</v>
      </c>
    </row>
    <row r="199" spans="1:33" ht="11.25" customHeight="1" x14ac:dyDescent="0.25">
      <c r="A199" s="4" t="s">
        <v>21</v>
      </c>
      <c r="B199" s="4" t="s">
        <v>37</v>
      </c>
      <c r="C199" s="4" t="s">
        <v>23</v>
      </c>
      <c r="D199" s="4" t="s">
        <v>38</v>
      </c>
      <c r="E199" s="4" t="s">
        <v>25</v>
      </c>
      <c r="F199" s="4" t="s">
        <v>25</v>
      </c>
      <c r="G199" s="4" t="s">
        <v>25</v>
      </c>
      <c r="H199" s="4" t="s">
        <v>25</v>
      </c>
      <c r="I199" s="5">
        <v>44531</v>
      </c>
      <c r="J199" s="6">
        <v>0</v>
      </c>
      <c r="K199" s="6">
        <v>0</v>
      </c>
      <c r="L199" s="6">
        <v>93.451999999999998</v>
      </c>
      <c r="M199" s="6">
        <v>93.451999999999998</v>
      </c>
      <c r="N199" s="6">
        <v>93.451999999999998</v>
      </c>
      <c r="O199" s="6">
        <v>93.451999999999998</v>
      </c>
      <c r="P199" s="6">
        <v>86</v>
      </c>
      <c r="Q199" s="4" t="s">
        <v>26</v>
      </c>
      <c r="R199" s="4">
        <v>0</v>
      </c>
      <c r="S199" s="6">
        <v>0</v>
      </c>
      <c r="T199" s="6">
        <v>40</v>
      </c>
      <c r="U199" s="6">
        <v>83</v>
      </c>
      <c r="V199" s="6">
        <f>IF(ISERROR(VLOOKUP($S$199,'TAR FIN'!$A$1:$O$86,15,0)),0,VLOOKUP($S$199,'TAR FIN'!$A$1:$O$86,15,0))</f>
        <v>0</v>
      </c>
      <c r="W199" s="6">
        <f>IF(ISERROR(VLOOKUP($T$199,'TAR FIN'!$A$1:$O$86,15,0)),0,VLOOKUP($T$199,'TAR FIN'!$A$1:$O$86,15,0))</f>
        <v>556.84</v>
      </c>
      <c r="X199" s="6">
        <f>IF(ISERROR(VLOOKUP($U$199,'TAR FIN'!$A$1:$O$86,15,0)),0,VLOOKUP($U$199,'TAR FIN'!$A$1:$O$86,15,0))</f>
        <v>131.87</v>
      </c>
      <c r="Y199" s="6"/>
      <c r="Z199" s="6">
        <f ca="1">('TUSD BE'!$AM$48+'TUSD BF'!$AM$48+'TUSD CVA'!$AM$48)*1</f>
        <v>670.0842907267272</v>
      </c>
      <c r="AA199" s="6">
        <f>('TE BE'!$AB$39+'TE BF'!$AB$39+'TE CVA'!$AB$39)*1</f>
        <v>116.42847759142431</v>
      </c>
      <c r="AB199" s="6">
        <f>$K$199*$V$199</f>
        <v>0</v>
      </c>
      <c r="AC199" s="6">
        <f>$M$199*$W$199</f>
        <v>52037.811679999999</v>
      </c>
      <c r="AD199" s="6">
        <f>$O$199*$X$199</f>
        <v>12323.515240000001</v>
      </c>
      <c r="AE199" s="6">
        <f>$K$199*$Y$199</f>
        <v>0</v>
      </c>
      <c r="AF199" s="6">
        <f ca="1">$M$199*$Z$199</f>
        <v>62620.717136994106</v>
      </c>
      <c r="AG199" s="6">
        <f>$O$199*$AA$199</f>
        <v>10880.474087873785</v>
      </c>
    </row>
    <row r="200" spans="1:33" ht="11.25" customHeight="1" x14ac:dyDescent="0.25">
      <c r="A200" s="4" t="s">
        <v>21</v>
      </c>
      <c r="B200" s="4" t="s">
        <v>37</v>
      </c>
      <c r="C200" s="4" t="s">
        <v>23</v>
      </c>
      <c r="D200" s="4" t="s">
        <v>38</v>
      </c>
      <c r="E200" s="4" t="s">
        <v>25</v>
      </c>
      <c r="F200" s="4" t="s">
        <v>25</v>
      </c>
      <c r="G200" s="4" t="s">
        <v>25</v>
      </c>
      <c r="H200" s="4" t="s">
        <v>25</v>
      </c>
      <c r="I200" s="5">
        <v>44562</v>
      </c>
      <c r="J200" s="6">
        <v>0</v>
      </c>
      <c r="K200" s="6">
        <v>0</v>
      </c>
      <c r="L200" s="6">
        <v>87.777000000000001</v>
      </c>
      <c r="M200" s="6">
        <v>87.777000000000001</v>
      </c>
      <c r="N200" s="6">
        <v>87.777000000000001</v>
      </c>
      <c r="O200" s="6">
        <v>87.777000000000001</v>
      </c>
      <c r="P200" s="6">
        <v>87</v>
      </c>
      <c r="Q200" s="4" t="s">
        <v>26</v>
      </c>
      <c r="R200" s="4">
        <v>0</v>
      </c>
      <c r="S200" s="6">
        <v>0</v>
      </c>
      <c r="T200" s="6">
        <v>40</v>
      </c>
      <c r="U200" s="6">
        <v>83</v>
      </c>
      <c r="V200" s="6">
        <f>IF(ISERROR(VLOOKUP($S$200,'TAR FIN'!$A$1:$O$86,15,0)),0,VLOOKUP($S$200,'TAR FIN'!$A$1:$O$86,15,0))</f>
        <v>0</v>
      </c>
      <c r="W200" s="6">
        <f>IF(ISERROR(VLOOKUP($T$200,'TAR FIN'!$A$1:$O$86,15,0)),0,VLOOKUP($T$200,'TAR FIN'!$A$1:$O$86,15,0))</f>
        <v>556.84</v>
      </c>
      <c r="X200" s="6">
        <f>IF(ISERROR(VLOOKUP($U$200,'TAR FIN'!$A$1:$O$86,15,0)),0,VLOOKUP($U$200,'TAR FIN'!$A$1:$O$86,15,0))</f>
        <v>131.87</v>
      </c>
      <c r="Y200" s="6"/>
      <c r="Z200" s="6">
        <f ca="1">('TUSD BE'!$AM$48+'TUSD BF'!$AM$48+'TUSD CVA'!$AM$48)*1</f>
        <v>670.0842907267272</v>
      </c>
      <c r="AA200" s="6">
        <f>('TE BE'!$AB$39+'TE BF'!$AB$39+'TE CVA'!$AB$39)*1</f>
        <v>116.42847759142431</v>
      </c>
      <c r="AB200" s="6">
        <f>$K$200*$V$200</f>
        <v>0</v>
      </c>
      <c r="AC200" s="6">
        <f>$M$200*$W$200</f>
        <v>48877.744680000003</v>
      </c>
      <c r="AD200" s="6">
        <f>$O$200*$X$200</f>
        <v>11575.152990000001</v>
      </c>
      <c r="AE200" s="6">
        <f>$K$200*$Y$200</f>
        <v>0</v>
      </c>
      <c r="AF200" s="6">
        <f ca="1">$M$200*$Z$200</f>
        <v>58817.988787119932</v>
      </c>
      <c r="AG200" s="6">
        <f>$O$200*$AA$200</f>
        <v>10219.742477542452</v>
      </c>
    </row>
    <row r="201" spans="1:33" ht="11.25" customHeight="1" x14ac:dyDescent="0.25">
      <c r="A201" s="4" t="s">
        <v>21</v>
      </c>
      <c r="B201" s="4" t="s">
        <v>37</v>
      </c>
      <c r="C201" s="4" t="s">
        <v>23</v>
      </c>
      <c r="D201" s="4" t="s">
        <v>38</v>
      </c>
      <c r="E201" s="4" t="s">
        <v>25</v>
      </c>
      <c r="F201" s="4" t="s">
        <v>25</v>
      </c>
      <c r="G201" s="4" t="s">
        <v>25</v>
      </c>
      <c r="H201" s="4" t="s">
        <v>25</v>
      </c>
      <c r="I201" s="5">
        <v>44593</v>
      </c>
      <c r="J201" s="6">
        <v>0</v>
      </c>
      <c r="K201" s="6">
        <v>0</v>
      </c>
      <c r="L201" s="6">
        <v>99.113</v>
      </c>
      <c r="M201" s="6">
        <v>99.113</v>
      </c>
      <c r="N201" s="6">
        <v>99.113</v>
      </c>
      <c r="O201" s="6">
        <v>99.113</v>
      </c>
      <c r="P201" s="6">
        <v>86</v>
      </c>
      <c r="Q201" s="4" t="s">
        <v>26</v>
      </c>
      <c r="R201" s="4">
        <v>0</v>
      </c>
      <c r="S201" s="6">
        <v>0</v>
      </c>
      <c r="T201" s="6">
        <v>40</v>
      </c>
      <c r="U201" s="6">
        <v>83</v>
      </c>
      <c r="V201" s="6">
        <f>IF(ISERROR(VLOOKUP($S$201,'TAR FIN'!$A$1:$O$86,15,0)),0,VLOOKUP($S$201,'TAR FIN'!$A$1:$O$86,15,0))</f>
        <v>0</v>
      </c>
      <c r="W201" s="6">
        <f>IF(ISERROR(VLOOKUP($T$201,'TAR FIN'!$A$1:$O$86,15,0)),0,VLOOKUP($T$201,'TAR FIN'!$A$1:$O$86,15,0))</f>
        <v>556.84</v>
      </c>
      <c r="X201" s="6">
        <f>IF(ISERROR(VLOOKUP($U$201,'TAR FIN'!$A$1:$O$86,15,0)),0,VLOOKUP($U$201,'TAR FIN'!$A$1:$O$86,15,0))</f>
        <v>131.87</v>
      </c>
      <c r="Y201" s="6"/>
      <c r="Z201" s="6">
        <f ca="1">('TUSD BE'!$AM$48+'TUSD BF'!$AM$48+'TUSD CVA'!$AM$48)*1</f>
        <v>670.0842907267272</v>
      </c>
      <c r="AA201" s="6">
        <f>('TE BE'!$AB$39+'TE BF'!$AB$39+'TE CVA'!$AB$39)*1</f>
        <v>116.42847759142431</v>
      </c>
      <c r="AB201" s="6">
        <f>$K$201*$V$201</f>
        <v>0</v>
      </c>
      <c r="AC201" s="6">
        <f>$M$201*$W$201</f>
        <v>55190.082920000001</v>
      </c>
      <c r="AD201" s="6">
        <f>$O$201*$X$201</f>
        <v>13070.03131</v>
      </c>
      <c r="AE201" s="6">
        <f>$K$201*$Y$201</f>
        <v>0</v>
      </c>
      <c r="AF201" s="6">
        <f ca="1">$M$201*$Z$201</f>
        <v>66414.064306798115</v>
      </c>
      <c r="AG201" s="6">
        <f>$O$201*$AA$201</f>
        <v>11539.575699518839</v>
      </c>
    </row>
    <row r="202" spans="1:33" ht="11.25" customHeight="1" x14ac:dyDescent="0.25">
      <c r="A202" s="4" t="s">
        <v>21</v>
      </c>
      <c r="B202" s="4" t="s">
        <v>37</v>
      </c>
      <c r="C202" s="4" t="s">
        <v>23</v>
      </c>
      <c r="D202" s="4" t="s">
        <v>38</v>
      </c>
      <c r="E202" s="4" t="s">
        <v>25</v>
      </c>
      <c r="F202" s="4" t="s">
        <v>25</v>
      </c>
      <c r="G202" s="4" t="s">
        <v>25</v>
      </c>
      <c r="H202" s="4" t="s">
        <v>25</v>
      </c>
      <c r="I202" s="5">
        <v>44621</v>
      </c>
      <c r="J202" s="6">
        <v>0</v>
      </c>
      <c r="K202" s="6">
        <v>0</v>
      </c>
      <c r="L202" s="6">
        <v>105.268</v>
      </c>
      <c r="M202" s="6">
        <v>105.268</v>
      </c>
      <c r="N202" s="6">
        <v>105.268</v>
      </c>
      <c r="O202" s="6">
        <v>105.268</v>
      </c>
      <c r="P202" s="6">
        <v>86</v>
      </c>
      <c r="Q202" s="4" t="s">
        <v>26</v>
      </c>
      <c r="R202" s="4">
        <v>0</v>
      </c>
      <c r="S202" s="6">
        <v>0</v>
      </c>
      <c r="T202" s="6">
        <v>40</v>
      </c>
      <c r="U202" s="6">
        <v>83</v>
      </c>
      <c r="V202" s="6">
        <f>IF(ISERROR(VLOOKUP($S$202,'TAR FIN'!$A$1:$O$86,15,0)),0,VLOOKUP($S$202,'TAR FIN'!$A$1:$O$86,15,0))</f>
        <v>0</v>
      </c>
      <c r="W202" s="6">
        <f>IF(ISERROR(VLOOKUP($T$202,'TAR FIN'!$A$1:$O$86,15,0)),0,VLOOKUP($T$202,'TAR FIN'!$A$1:$O$86,15,0))</f>
        <v>556.84</v>
      </c>
      <c r="X202" s="6">
        <f>IF(ISERROR(VLOOKUP($U$202,'TAR FIN'!$A$1:$O$86,15,0)),0,VLOOKUP($U$202,'TAR FIN'!$A$1:$O$86,15,0))</f>
        <v>131.87</v>
      </c>
      <c r="Y202" s="6"/>
      <c r="Z202" s="6">
        <f ca="1">('TUSD BE'!$AM$48+'TUSD BF'!$AM$48+'TUSD CVA'!$AM$48)*1</f>
        <v>670.0842907267272</v>
      </c>
      <c r="AA202" s="6">
        <f>('TE BE'!$AB$39+'TE BF'!$AB$39+'TE CVA'!$AB$39)*1</f>
        <v>116.42847759142431</v>
      </c>
      <c r="AB202" s="6">
        <f>$K$202*$V$202</f>
        <v>0</v>
      </c>
      <c r="AC202" s="6">
        <f>$M$202*$W$202</f>
        <v>58617.433120000002</v>
      </c>
      <c r="AD202" s="6">
        <f>$O$202*$X$202</f>
        <v>13881.69116</v>
      </c>
      <c r="AE202" s="6">
        <f>$K$202*$Y$202</f>
        <v>0</v>
      </c>
      <c r="AF202" s="6">
        <f ca="1">$M$202*$Z$202</f>
        <v>70538.433116221117</v>
      </c>
      <c r="AG202" s="6">
        <f>$O$202*$AA$202</f>
        <v>12256.192979094054</v>
      </c>
    </row>
    <row r="203" spans="1:33" ht="11.25" customHeight="1" x14ac:dyDescent="0.25">
      <c r="A203" s="4" t="s">
        <v>21</v>
      </c>
      <c r="B203" s="4" t="s">
        <v>37</v>
      </c>
      <c r="C203" s="4" t="s">
        <v>23</v>
      </c>
      <c r="D203" s="4" t="s">
        <v>38</v>
      </c>
      <c r="E203" s="4" t="s">
        <v>25</v>
      </c>
      <c r="F203" s="4" t="s">
        <v>25</v>
      </c>
      <c r="G203" s="4" t="s">
        <v>25</v>
      </c>
      <c r="H203" s="4" t="s">
        <v>25</v>
      </c>
      <c r="I203" s="5">
        <v>44652</v>
      </c>
      <c r="J203" s="6">
        <v>0</v>
      </c>
      <c r="K203" s="6">
        <v>0</v>
      </c>
      <c r="L203" s="6">
        <v>101.986</v>
      </c>
      <c r="M203" s="6">
        <v>101.986</v>
      </c>
      <c r="N203" s="6">
        <v>101.986</v>
      </c>
      <c r="O203" s="6">
        <v>101.986</v>
      </c>
      <c r="P203" s="6">
        <v>85</v>
      </c>
      <c r="Q203" s="4" t="s">
        <v>26</v>
      </c>
      <c r="R203" s="4">
        <v>0</v>
      </c>
      <c r="S203" s="6">
        <v>0</v>
      </c>
      <c r="T203" s="6">
        <v>40</v>
      </c>
      <c r="U203" s="6">
        <v>83</v>
      </c>
      <c r="V203" s="6">
        <f>IF(ISERROR(VLOOKUP($S$203,'TAR FIN'!$A$1:$O$86,15,0)),0,VLOOKUP($S$203,'TAR FIN'!$A$1:$O$86,15,0))</f>
        <v>0</v>
      </c>
      <c r="W203" s="6">
        <f>IF(ISERROR(VLOOKUP($T$203,'TAR FIN'!$A$1:$O$86,15,0)),0,VLOOKUP($T$203,'TAR FIN'!$A$1:$O$86,15,0))</f>
        <v>556.84</v>
      </c>
      <c r="X203" s="6">
        <f>IF(ISERROR(VLOOKUP($U$203,'TAR FIN'!$A$1:$O$86,15,0)),0,VLOOKUP($U$203,'TAR FIN'!$A$1:$O$86,15,0))</f>
        <v>131.87</v>
      </c>
      <c r="Y203" s="6"/>
      <c r="Z203" s="6">
        <f ca="1">('TUSD BE'!$AM$48+'TUSD BF'!$AM$48+'TUSD CVA'!$AM$48)*1</f>
        <v>670.0842907267272</v>
      </c>
      <c r="AA203" s="6">
        <f>('TE BE'!$AB$39+'TE BF'!$AB$39+'TE CVA'!$AB$39)*1</f>
        <v>116.42847759142431</v>
      </c>
      <c r="AB203" s="6">
        <f>$K$203*$V$203</f>
        <v>0</v>
      </c>
      <c r="AC203" s="6">
        <f>$M$203*$W$203</f>
        <v>56789.884240000007</v>
      </c>
      <c r="AD203" s="6">
        <f>$O$203*$X$203</f>
        <v>13448.893820000001</v>
      </c>
      <c r="AE203" s="6">
        <f>$K$203*$Y$203</f>
        <v>0</v>
      </c>
      <c r="AF203" s="6">
        <f ca="1">$M$203*$Z$203</f>
        <v>68339.216474055997</v>
      </c>
      <c r="AG203" s="6">
        <f>$O$203*$AA$203</f>
        <v>11874.074715639001</v>
      </c>
    </row>
    <row r="204" spans="1:33" ht="11.25" customHeight="1" x14ac:dyDescent="0.25">
      <c r="A204" s="4" t="s">
        <v>21</v>
      </c>
      <c r="B204" s="4" t="s">
        <v>37</v>
      </c>
      <c r="C204" s="4" t="s">
        <v>23</v>
      </c>
      <c r="D204" s="4" t="s">
        <v>38</v>
      </c>
      <c r="E204" s="4" t="s">
        <v>25</v>
      </c>
      <c r="F204" s="4" t="s">
        <v>25</v>
      </c>
      <c r="G204" s="4" t="s">
        <v>25</v>
      </c>
      <c r="H204" s="4" t="s">
        <v>25</v>
      </c>
      <c r="I204" s="5">
        <v>44682</v>
      </c>
      <c r="J204" s="6">
        <v>0</v>
      </c>
      <c r="K204" s="6">
        <v>0</v>
      </c>
      <c r="L204" s="6">
        <v>102.489</v>
      </c>
      <c r="M204" s="6">
        <v>102.489</v>
      </c>
      <c r="N204" s="6">
        <v>102.489</v>
      </c>
      <c r="O204" s="6">
        <v>102.489</v>
      </c>
      <c r="P204" s="6">
        <v>85</v>
      </c>
      <c r="Q204" s="4" t="s">
        <v>26</v>
      </c>
      <c r="R204" s="4">
        <v>0</v>
      </c>
      <c r="S204" s="6">
        <v>0</v>
      </c>
      <c r="T204" s="6">
        <v>40</v>
      </c>
      <c r="U204" s="6">
        <v>83</v>
      </c>
      <c r="V204" s="6">
        <f>IF(ISERROR(VLOOKUP($S$204,'TAR FIN'!$A$1:$O$86,15,0)),0,VLOOKUP($S$204,'TAR FIN'!$A$1:$O$86,15,0))</f>
        <v>0</v>
      </c>
      <c r="W204" s="6">
        <f>IF(ISERROR(VLOOKUP($T$204,'TAR FIN'!$A$1:$O$86,15,0)),0,VLOOKUP($T$204,'TAR FIN'!$A$1:$O$86,15,0))</f>
        <v>556.84</v>
      </c>
      <c r="X204" s="6">
        <f>IF(ISERROR(VLOOKUP($U$204,'TAR FIN'!$A$1:$O$86,15,0)),0,VLOOKUP($U$204,'TAR FIN'!$A$1:$O$86,15,0))</f>
        <v>131.87</v>
      </c>
      <c r="Y204" s="6"/>
      <c r="Z204" s="6">
        <f ca="1">('TUSD BE'!$AM$48+'TUSD BF'!$AM$48+'TUSD CVA'!$AM$48)*1</f>
        <v>670.0842907267272</v>
      </c>
      <c r="AA204" s="6">
        <f>('TE BE'!$AB$39+'TE BF'!$AB$39+'TE CVA'!$AB$39)*1</f>
        <v>116.42847759142431</v>
      </c>
      <c r="AB204" s="6">
        <f>$K$204*$V$204</f>
        <v>0</v>
      </c>
      <c r="AC204" s="6">
        <f>$M$204*$W$204</f>
        <v>57069.974760000005</v>
      </c>
      <c r="AD204" s="6">
        <f>$O$204*$X$204</f>
        <v>13515.22443</v>
      </c>
      <c r="AE204" s="6">
        <f>$K$204*$Y$204</f>
        <v>0</v>
      </c>
      <c r="AF204" s="6">
        <f ca="1">$M$204*$Z$204</f>
        <v>68676.268872291548</v>
      </c>
      <c r="AG204" s="6">
        <f>$O$204*$AA$204</f>
        <v>11932.638239867487</v>
      </c>
    </row>
    <row r="205" spans="1:33" ht="11.25" customHeight="1" x14ac:dyDescent="0.25">
      <c r="A205" s="4" t="s">
        <v>21</v>
      </c>
      <c r="B205" s="4" t="s">
        <v>37</v>
      </c>
      <c r="C205" s="4" t="s">
        <v>23</v>
      </c>
      <c r="D205" s="4" t="s">
        <v>38</v>
      </c>
      <c r="E205" s="4" t="s">
        <v>25</v>
      </c>
      <c r="F205" s="4" t="s">
        <v>25</v>
      </c>
      <c r="G205" s="4" t="s">
        <v>25</v>
      </c>
      <c r="H205" s="4" t="s">
        <v>25</v>
      </c>
      <c r="I205" s="5">
        <v>44713</v>
      </c>
      <c r="J205" s="6">
        <v>0</v>
      </c>
      <c r="K205" s="6">
        <v>0</v>
      </c>
      <c r="L205" s="6">
        <v>96.046999999999997</v>
      </c>
      <c r="M205" s="6">
        <v>96.046999999999997</v>
      </c>
      <c r="N205" s="6">
        <v>96.046999999999997</v>
      </c>
      <c r="O205" s="6">
        <v>96.046999999999997</v>
      </c>
      <c r="P205" s="6">
        <v>85</v>
      </c>
      <c r="Q205" s="4" t="s">
        <v>26</v>
      </c>
      <c r="R205" s="4">
        <v>0</v>
      </c>
      <c r="S205" s="6">
        <v>0</v>
      </c>
      <c r="T205" s="6">
        <v>40</v>
      </c>
      <c r="U205" s="6">
        <v>83</v>
      </c>
      <c r="V205" s="6">
        <f>IF(ISERROR(VLOOKUP($S$205,'TAR FIN'!$A$1:$O$86,15,0)),0,VLOOKUP($S$205,'TAR FIN'!$A$1:$O$86,15,0))</f>
        <v>0</v>
      </c>
      <c r="W205" s="6">
        <f>IF(ISERROR(VLOOKUP($T$205,'TAR FIN'!$A$1:$O$86,15,0)),0,VLOOKUP($T$205,'TAR FIN'!$A$1:$O$86,15,0))</f>
        <v>556.84</v>
      </c>
      <c r="X205" s="6">
        <f>IF(ISERROR(VLOOKUP($U$205,'TAR FIN'!$A$1:$O$86,15,0)),0,VLOOKUP($U$205,'TAR FIN'!$A$1:$O$86,15,0))</f>
        <v>131.87</v>
      </c>
      <c r="Y205" s="6"/>
      <c r="Z205" s="6">
        <f ca="1">('TUSD BE'!$AM$48+'TUSD BF'!$AM$48+'TUSD CVA'!$AM$48)*1</f>
        <v>670.0842907267272</v>
      </c>
      <c r="AA205" s="6">
        <f>('TE BE'!$AB$39+'TE BF'!$AB$39+'TE CVA'!$AB$39)*1</f>
        <v>116.42847759142431</v>
      </c>
      <c r="AB205" s="6">
        <f>$K$205*$V$205</f>
        <v>0</v>
      </c>
      <c r="AC205" s="6">
        <f>$M$205*$W$205</f>
        <v>53482.811480000004</v>
      </c>
      <c r="AD205" s="6">
        <f>$O$205*$X$205</f>
        <v>12665.71789</v>
      </c>
      <c r="AE205" s="6">
        <f>$K$205*$Y$205</f>
        <v>0</v>
      </c>
      <c r="AF205" s="6">
        <f ca="1">$M$205*$Z$205</f>
        <v>64359.585871429968</v>
      </c>
      <c r="AG205" s="6">
        <f>$O$205*$AA$205</f>
        <v>11182.605987223531</v>
      </c>
    </row>
    <row r="206" spans="1:33" ht="11.25" customHeight="1" x14ac:dyDescent="0.25">
      <c r="A206" s="4" t="s">
        <v>21</v>
      </c>
      <c r="B206" s="4" t="s">
        <v>37</v>
      </c>
      <c r="C206" s="4" t="s">
        <v>23</v>
      </c>
      <c r="D206" s="4" t="s">
        <v>43</v>
      </c>
      <c r="E206" s="4" t="s">
        <v>25</v>
      </c>
      <c r="F206" s="4" t="s">
        <v>25</v>
      </c>
      <c r="G206" s="4" t="s">
        <v>25</v>
      </c>
      <c r="H206" s="4" t="s">
        <v>25</v>
      </c>
      <c r="I206" s="5">
        <v>44378</v>
      </c>
      <c r="J206" s="6">
        <v>0</v>
      </c>
      <c r="K206" s="6">
        <v>0</v>
      </c>
      <c r="L206" s="6">
        <v>5.0599999999999996</v>
      </c>
      <c r="M206" s="6">
        <v>5.0599999999999996</v>
      </c>
      <c r="N206" s="6">
        <v>5.0599999999999996</v>
      </c>
      <c r="O206" s="6">
        <v>5.0599999999999996</v>
      </c>
      <c r="P206" s="6">
        <v>18</v>
      </c>
      <c r="Q206" s="4" t="s">
        <v>26</v>
      </c>
      <c r="R206" s="4">
        <v>0</v>
      </c>
      <c r="S206" s="6">
        <v>0</v>
      </c>
      <c r="T206" s="6">
        <v>40</v>
      </c>
      <c r="U206" s="6">
        <v>83</v>
      </c>
      <c r="V206" s="6">
        <f>IF(ISERROR(VLOOKUP($S$206,'TAR FIN'!$A$1:$O$86,15,0)),0,VLOOKUP($S$206,'TAR FIN'!$A$1:$O$86,15,0))</f>
        <v>0</v>
      </c>
      <c r="W206" s="6">
        <f>IF(ISERROR(VLOOKUP($T$206,'TAR FIN'!$A$1:$O$86,15,0)),0,VLOOKUP($T$206,'TAR FIN'!$A$1:$O$86,15,0))</f>
        <v>556.84</v>
      </c>
      <c r="X206" s="6">
        <f>IF(ISERROR(VLOOKUP($U$206,'TAR FIN'!$A$1:$O$86,15,0)),0,VLOOKUP($U$206,'TAR FIN'!$A$1:$O$86,15,0))</f>
        <v>131.87</v>
      </c>
      <c r="Y206" s="6"/>
      <c r="Z206" s="6">
        <f ca="1">('TUSD BE'!$AM$48+'TUSD BF'!$AM$48+'TUSD CVA'!$AM$48)*1</f>
        <v>670.0842907267272</v>
      </c>
      <c r="AA206" s="6">
        <f>('TE BE'!$AB$39+'TE BF'!$AB$39+'TE CVA'!$AB$39)*1</f>
        <v>116.42847759142431</v>
      </c>
      <c r="AB206" s="6">
        <f>$K$206*$V$206</f>
        <v>0</v>
      </c>
      <c r="AC206" s="6">
        <f>$M$206*$W$206</f>
        <v>2817.6104</v>
      </c>
      <c r="AD206" s="6">
        <f>$O$206*$X$206</f>
        <v>667.26220000000001</v>
      </c>
      <c r="AE206" s="6">
        <f>$K$206*$Y$206</f>
        <v>0</v>
      </c>
      <c r="AF206" s="6">
        <f ca="1">$M$206*$Z$206</f>
        <v>3390.6265110772392</v>
      </c>
      <c r="AG206" s="6">
        <f>$O$206*$AA$206</f>
        <v>589.12809661260701</v>
      </c>
    </row>
    <row r="207" spans="1:33" ht="11.25" customHeight="1" x14ac:dyDescent="0.25">
      <c r="A207" s="4" t="s">
        <v>21</v>
      </c>
      <c r="B207" s="4" t="s">
        <v>37</v>
      </c>
      <c r="C207" s="4" t="s">
        <v>23</v>
      </c>
      <c r="D207" s="4" t="s">
        <v>43</v>
      </c>
      <c r="E207" s="4" t="s">
        <v>25</v>
      </c>
      <c r="F207" s="4" t="s">
        <v>25</v>
      </c>
      <c r="G207" s="4" t="s">
        <v>25</v>
      </c>
      <c r="H207" s="4" t="s">
        <v>25</v>
      </c>
      <c r="I207" s="5">
        <v>44409</v>
      </c>
      <c r="J207" s="6">
        <v>0</v>
      </c>
      <c r="K207" s="6">
        <v>0</v>
      </c>
      <c r="L207" s="6">
        <v>5.2249999999999996</v>
      </c>
      <c r="M207" s="6">
        <v>5.2249999999999996</v>
      </c>
      <c r="N207" s="6">
        <v>5.2249999999999996</v>
      </c>
      <c r="O207" s="6">
        <v>5.2249999999999996</v>
      </c>
      <c r="P207" s="6">
        <v>18</v>
      </c>
      <c r="Q207" s="4" t="s">
        <v>26</v>
      </c>
      <c r="R207" s="4">
        <v>0</v>
      </c>
      <c r="S207" s="6">
        <v>0</v>
      </c>
      <c r="T207" s="6">
        <v>40</v>
      </c>
      <c r="U207" s="6">
        <v>83</v>
      </c>
      <c r="V207" s="6">
        <f>IF(ISERROR(VLOOKUP($S$207,'TAR FIN'!$A$1:$O$86,15,0)),0,VLOOKUP($S$207,'TAR FIN'!$A$1:$O$86,15,0))</f>
        <v>0</v>
      </c>
      <c r="W207" s="6">
        <f>IF(ISERROR(VLOOKUP($T$207,'TAR FIN'!$A$1:$O$86,15,0)),0,VLOOKUP($T$207,'TAR FIN'!$A$1:$O$86,15,0))</f>
        <v>556.84</v>
      </c>
      <c r="X207" s="6">
        <f>IF(ISERROR(VLOOKUP($U$207,'TAR FIN'!$A$1:$O$86,15,0)),0,VLOOKUP($U$207,'TAR FIN'!$A$1:$O$86,15,0))</f>
        <v>131.87</v>
      </c>
      <c r="Y207" s="6"/>
      <c r="Z207" s="6">
        <f ca="1">('TUSD BE'!$AM$48+'TUSD BF'!$AM$48+'TUSD CVA'!$AM$48)*1</f>
        <v>670.0842907267272</v>
      </c>
      <c r="AA207" s="6">
        <f>('TE BE'!$AB$39+'TE BF'!$AB$39+'TE CVA'!$AB$39)*1</f>
        <v>116.42847759142431</v>
      </c>
      <c r="AB207" s="6">
        <f>$K$207*$V$207</f>
        <v>0</v>
      </c>
      <c r="AC207" s="6">
        <f>$M$207*$W$207</f>
        <v>2909.489</v>
      </c>
      <c r="AD207" s="6">
        <f>$O$207*$X$207</f>
        <v>689.02075000000002</v>
      </c>
      <c r="AE207" s="6">
        <f>$K$207*$Y$207</f>
        <v>0</v>
      </c>
      <c r="AF207" s="6">
        <f ca="1">$M$207*$Z$207</f>
        <v>3501.1904190471496</v>
      </c>
      <c r="AG207" s="6">
        <f>$O$207*$AA$207</f>
        <v>608.33879541519195</v>
      </c>
    </row>
    <row r="208" spans="1:33" ht="11.25" customHeight="1" x14ac:dyDescent="0.25">
      <c r="A208" s="4" t="s">
        <v>21</v>
      </c>
      <c r="B208" s="4" t="s">
        <v>37</v>
      </c>
      <c r="C208" s="4" t="s">
        <v>23</v>
      </c>
      <c r="D208" s="4" t="s">
        <v>43</v>
      </c>
      <c r="E208" s="4" t="s">
        <v>25</v>
      </c>
      <c r="F208" s="4" t="s">
        <v>25</v>
      </c>
      <c r="G208" s="4" t="s">
        <v>25</v>
      </c>
      <c r="H208" s="4" t="s">
        <v>25</v>
      </c>
      <c r="I208" s="5">
        <v>44440</v>
      </c>
      <c r="J208" s="6">
        <v>0</v>
      </c>
      <c r="K208" s="6">
        <v>0</v>
      </c>
      <c r="L208" s="6">
        <v>7.59</v>
      </c>
      <c r="M208" s="6">
        <v>7.59</v>
      </c>
      <c r="N208" s="6">
        <v>7.59</v>
      </c>
      <c r="O208" s="6">
        <v>7.59</v>
      </c>
      <c r="P208" s="6">
        <v>18</v>
      </c>
      <c r="Q208" s="4" t="s">
        <v>26</v>
      </c>
      <c r="R208" s="4">
        <v>0</v>
      </c>
      <c r="S208" s="6">
        <v>0</v>
      </c>
      <c r="T208" s="6">
        <v>40</v>
      </c>
      <c r="U208" s="6">
        <v>83</v>
      </c>
      <c r="V208" s="6">
        <f>IF(ISERROR(VLOOKUP($S$208,'TAR FIN'!$A$1:$O$86,15,0)),0,VLOOKUP($S$208,'TAR FIN'!$A$1:$O$86,15,0))</f>
        <v>0</v>
      </c>
      <c r="W208" s="6">
        <f>IF(ISERROR(VLOOKUP($T$208,'TAR FIN'!$A$1:$O$86,15,0)),0,VLOOKUP($T$208,'TAR FIN'!$A$1:$O$86,15,0))</f>
        <v>556.84</v>
      </c>
      <c r="X208" s="6">
        <f>IF(ISERROR(VLOOKUP($U$208,'TAR FIN'!$A$1:$O$86,15,0)),0,VLOOKUP($U$208,'TAR FIN'!$A$1:$O$86,15,0))</f>
        <v>131.87</v>
      </c>
      <c r="Y208" s="6"/>
      <c r="Z208" s="6">
        <f ca="1">('TUSD BE'!$AM$48+'TUSD BF'!$AM$48+'TUSD CVA'!$AM$48)*1</f>
        <v>670.0842907267272</v>
      </c>
      <c r="AA208" s="6">
        <f>('TE BE'!$AB$39+'TE BF'!$AB$39+'TE CVA'!$AB$39)*1</f>
        <v>116.42847759142431</v>
      </c>
      <c r="AB208" s="6">
        <f>$K$208*$V$208</f>
        <v>0</v>
      </c>
      <c r="AC208" s="6">
        <f>$M$208*$W$208</f>
        <v>4226.4156000000003</v>
      </c>
      <c r="AD208" s="6">
        <f>$O$208*$X$208</f>
        <v>1000.8933000000001</v>
      </c>
      <c r="AE208" s="6">
        <f>$K$208*$Y$208</f>
        <v>0</v>
      </c>
      <c r="AF208" s="6">
        <f ca="1">$M$208*$Z$208</f>
        <v>5085.9397666158593</v>
      </c>
      <c r="AG208" s="6">
        <f>$O$208*$AA$208</f>
        <v>883.69214491891046</v>
      </c>
    </row>
    <row r="209" spans="1:33" ht="11.25" customHeight="1" x14ac:dyDescent="0.25">
      <c r="A209" s="4" t="s">
        <v>21</v>
      </c>
      <c r="B209" s="4" t="s">
        <v>37</v>
      </c>
      <c r="C209" s="4" t="s">
        <v>23</v>
      </c>
      <c r="D209" s="4" t="s">
        <v>43</v>
      </c>
      <c r="E209" s="4" t="s">
        <v>25</v>
      </c>
      <c r="F209" s="4" t="s">
        <v>25</v>
      </c>
      <c r="G209" s="4" t="s">
        <v>25</v>
      </c>
      <c r="H209" s="4" t="s">
        <v>25</v>
      </c>
      <c r="I209" s="5">
        <v>44470</v>
      </c>
      <c r="J209" s="6">
        <v>0</v>
      </c>
      <c r="K209" s="6">
        <v>0</v>
      </c>
      <c r="L209" s="6">
        <v>7.13</v>
      </c>
      <c r="M209" s="6">
        <v>7.13</v>
      </c>
      <c r="N209" s="6">
        <v>7.13</v>
      </c>
      <c r="O209" s="6">
        <v>7.13</v>
      </c>
      <c r="P209" s="6">
        <v>18</v>
      </c>
      <c r="Q209" s="4" t="s">
        <v>26</v>
      </c>
      <c r="R209" s="4">
        <v>0</v>
      </c>
      <c r="S209" s="6">
        <v>0</v>
      </c>
      <c r="T209" s="6">
        <v>40</v>
      </c>
      <c r="U209" s="6">
        <v>83</v>
      </c>
      <c r="V209" s="6">
        <f>IF(ISERROR(VLOOKUP($S$209,'TAR FIN'!$A$1:$O$86,15,0)),0,VLOOKUP($S$209,'TAR FIN'!$A$1:$O$86,15,0))</f>
        <v>0</v>
      </c>
      <c r="W209" s="6">
        <f>IF(ISERROR(VLOOKUP($T$209,'TAR FIN'!$A$1:$O$86,15,0)),0,VLOOKUP($T$209,'TAR FIN'!$A$1:$O$86,15,0))</f>
        <v>556.84</v>
      </c>
      <c r="X209" s="6">
        <f>IF(ISERROR(VLOOKUP($U$209,'TAR FIN'!$A$1:$O$86,15,0)),0,VLOOKUP($U$209,'TAR FIN'!$A$1:$O$86,15,0))</f>
        <v>131.87</v>
      </c>
      <c r="Y209" s="6"/>
      <c r="Z209" s="6">
        <f ca="1">('TUSD BE'!$AM$48+'TUSD BF'!$AM$48+'TUSD CVA'!$AM$48)*1</f>
        <v>670.0842907267272</v>
      </c>
      <c r="AA209" s="6">
        <f>('TE BE'!$AB$39+'TE BF'!$AB$39+'TE CVA'!$AB$39)*1</f>
        <v>116.42847759142431</v>
      </c>
      <c r="AB209" s="6">
        <f>$K$209*$V$209</f>
        <v>0</v>
      </c>
      <c r="AC209" s="6">
        <f>$M$209*$W$209</f>
        <v>3970.2692000000002</v>
      </c>
      <c r="AD209" s="6">
        <f>$O$209*$X$209</f>
        <v>940.23310000000004</v>
      </c>
      <c r="AE209" s="6">
        <f>$K$209*$Y$209</f>
        <v>0</v>
      </c>
      <c r="AF209" s="6">
        <f ca="1">$M$209*$Z$209</f>
        <v>4777.7009928815651</v>
      </c>
      <c r="AG209" s="6">
        <f>$O$209*$AA$209</f>
        <v>830.13504522685537</v>
      </c>
    </row>
    <row r="210" spans="1:33" ht="11.25" customHeight="1" x14ac:dyDescent="0.25">
      <c r="A210" s="4" t="s">
        <v>21</v>
      </c>
      <c r="B210" s="4" t="s">
        <v>37</v>
      </c>
      <c r="C210" s="4" t="s">
        <v>23</v>
      </c>
      <c r="D210" s="4" t="s">
        <v>43</v>
      </c>
      <c r="E210" s="4" t="s">
        <v>25</v>
      </c>
      <c r="F210" s="4" t="s">
        <v>25</v>
      </c>
      <c r="G210" s="4" t="s">
        <v>25</v>
      </c>
      <c r="H210" s="4" t="s">
        <v>25</v>
      </c>
      <c r="I210" s="5">
        <v>44501</v>
      </c>
      <c r="J210" s="6">
        <v>0</v>
      </c>
      <c r="K210" s="6">
        <v>0</v>
      </c>
      <c r="L210" s="6">
        <v>15.183</v>
      </c>
      <c r="M210" s="6">
        <v>15.183</v>
      </c>
      <c r="N210" s="6">
        <v>15.183</v>
      </c>
      <c r="O210" s="6">
        <v>15.183</v>
      </c>
      <c r="P210" s="6">
        <v>18</v>
      </c>
      <c r="Q210" s="4" t="s">
        <v>26</v>
      </c>
      <c r="R210" s="4">
        <v>0</v>
      </c>
      <c r="S210" s="6">
        <v>0</v>
      </c>
      <c r="T210" s="6">
        <v>40</v>
      </c>
      <c r="U210" s="6">
        <v>83</v>
      </c>
      <c r="V210" s="6">
        <f>IF(ISERROR(VLOOKUP($S$210,'TAR FIN'!$A$1:$O$86,15,0)),0,VLOOKUP($S$210,'TAR FIN'!$A$1:$O$86,15,0))</f>
        <v>0</v>
      </c>
      <c r="W210" s="6">
        <f>IF(ISERROR(VLOOKUP($T$210,'TAR FIN'!$A$1:$O$86,15,0)),0,VLOOKUP($T$210,'TAR FIN'!$A$1:$O$86,15,0))</f>
        <v>556.84</v>
      </c>
      <c r="X210" s="6">
        <f>IF(ISERROR(VLOOKUP($U$210,'TAR FIN'!$A$1:$O$86,15,0)),0,VLOOKUP($U$210,'TAR FIN'!$A$1:$O$86,15,0))</f>
        <v>131.87</v>
      </c>
      <c r="Y210" s="6"/>
      <c r="Z210" s="6">
        <f ca="1">('TUSD BE'!$AM$48+'TUSD BF'!$AM$48+'TUSD CVA'!$AM$48)*1</f>
        <v>670.0842907267272</v>
      </c>
      <c r="AA210" s="6">
        <f>('TE BE'!$AB$39+'TE BF'!$AB$39+'TE CVA'!$AB$39)*1</f>
        <v>116.42847759142431</v>
      </c>
      <c r="AB210" s="6">
        <f>$K$210*$V$210</f>
        <v>0</v>
      </c>
      <c r="AC210" s="6">
        <f>$M$210*$W$210</f>
        <v>8454.5017200000002</v>
      </c>
      <c r="AD210" s="6">
        <f>$O$210*$X$210</f>
        <v>2002.1822099999999</v>
      </c>
      <c r="AE210" s="6">
        <f>$K$210*$Y$210</f>
        <v>0</v>
      </c>
      <c r="AF210" s="6">
        <f ca="1">$M$210*$Z$210</f>
        <v>10173.889786103899</v>
      </c>
      <c r="AG210" s="6">
        <f>$O$210*$AA$210</f>
        <v>1767.7335752705953</v>
      </c>
    </row>
    <row r="211" spans="1:33" ht="11.25" customHeight="1" x14ac:dyDescent="0.25">
      <c r="A211" s="4" t="s">
        <v>21</v>
      </c>
      <c r="B211" s="4" t="s">
        <v>37</v>
      </c>
      <c r="C211" s="4" t="s">
        <v>23</v>
      </c>
      <c r="D211" s="4" t="s">
        <v>43</v>
      </c>
      <c r="E211" s="4" t="s">
        <v>25</v>
      </c>
      <c r="F211" s="4" t="s">
        <v>25</v>
      </c>
      <c r="G211" s="4" t="s">
        <v>25</v>
      </c>
      <c r="H211" s="4" t="s">
        <v>25</v>
      </c>
      <c r="I211" s="5">
        <v>44531</v>
      </c>
      <c r="J211" s="6">
        <v>0</v>
      </c>
      <c r="K211" s="6">
        <v>0</v>
      </c>
      <c r="L211" s="6">
        <v>12.304</v>
      </c>
      <c r="M211" s="6">
        <v>12.304</v>
      </c>
      <c r="N211" s="6">
        <v>12.304</v>
      </c>
      <c r="O211" s="6">
        <v>12.304</v>
      </c>
      <c r="P211" s="6">
        <v>18</v>
      </c>
      <c r="Q211" s="4" t="s">
        <v>26</v>
      </c>
      <c r="R211" s="4">
        <v>0</v>
      </c>
      <c r="S211" s="6">
        <v>0</v>
      </c>
      <c r="T211" s="6">
        <v>40</v>
      </c>
      <c r="U211" s="6">
        <v>83</v>
      </c>
      <c r="V211" s="6">
        <f>IF(ISERROR(VLOOKUP($S$211,'TAR FIN'!$A$1:$O$86,15,0)),0,VLOOKUP($S$211,'TAR FIN'!$A$1:$O$86,15,0))</f>
        <v>0</v>
      </c>
      <c r="W211" s="6">
        <f>IF(ISERROR(VLOOKUP($T$211,'TAR FIN'!$A$1:$O$86,15,0)),0,VLOOKUP($T$211,'TAR FIN'!$A$1:$O$86,15,0))</f>
        <v>556.84</v>
      </c>
      <c r="X211" s="6">
        <f>IF(ISERROR(VLOOKUP($U$211,'TAR FIN'!$A$1:$O$86,15,0)),0,VLOOKUP($U$211,'TAR FIN'!$A$1:$O$86,15,0))</f>
        <v>131.87</v>
      </c>
      <c r="Y211" s="6"/>
      <c r="Z211" s="6">
        <f ca="1">('TUSD BE'!$AM$48+'TUSD BF'!$AM$48+'TUSD CVA'!$AM$48)*1</f>
        <v>670.0842907267272</v>
      </c>
      <c r="AA211" s="6">
        <f>('TE BE'!$AB$39+'TE BF'!$AB$39+'TE CVA'!$AB$39)*1</f>
        <v>116.42847759142431</v>
      </c>
      <c r="AB211" s="6">
        <f>$K$211*$V$211</f>
        <v>0</v>
      </c>
      <c r="AC211" s="6">
        <f>$M$211*$W$211</f>
        <v>6851.3593600000004</v>
      </c>
      <c r="AD211" s="6">
        <f>$O$211*$X$211</f>
        <v>1622.5284800000002</v>
      </c>
      <c r="AE211" s="6">
        <f>$K$211*$Y$211</f>
        <v>0</v>
      </c>
      <c r="AF211" s="6">
        <f ca="1">$M$211*$Z$211</f>
        <v>8244.7171131016512</v>
      </c>
      <c r="AG211" s="6">
        <f>$O$211*$AA$211</f>
        <v>1432.5359882848848</v>
      </c>
    </row>
    <row r="212" spans="1:33" ht="11.25" customHeight="1" x14ac:dyDescent="0.25">
      <c r="A212" s="4" t="s">
        <v>21</v>
      </c>
      <c r="B212" s="4" t="s">
        <v>37</v>
      </c>
      <c r="C212" s="4" t="s">
        <v>23</v>
      </c>
      <c r="D212" s="4" t="s">
        <v>43</v>
      </c>
      <c r="E212" s="4" t="s">
        <v>25</v>
      </c>
      <c r="F212" s="4" t="s">
        <v>25</v>
      </c>
      <c r="G212" s="4" t="s">
        <v>25</v>
      </c>
      <c r="H212" s="4" t="s">
        <v>25</v>
      </c>
      <c r="I212" s="5">
        <v>44562</v>
      </c>
      <c r="J212" s="6">
        <v>0</v>
      </c>
      <c r="K212" s="6">
        <v>0</v>
      </c>
      <c r="L212" s="6">
        <v>7.01</v>
      </c>
      <c r="M212" s="6">
        <v>7.01</v>
      </c>
      <c r="N212" s="6">
        <v>7.01</v>
      </c>
      <c r="O212" s="6">
        <v>7.01</v>
      </c>
      <c r="P212" s="6">
        <v>18</v>
      </c>
      <c r="Q212" s="4" t="s">
        <v>26</v>
      </c>
      <c r="R212" s="4">
        <v>0</v>
      </c>
      <c r="S212" s="6">
        <v>0</v>
      </c>
      <c r="T212" s="6">
        <v>40</v>
      </c>
      <c r="U212" s="6">
        <v>83</v>
      </c>
      <c r="V212" s="6">
        <f>IF(ISERROR(VLOOKUP($S$212,'TAR FIN'!$A$1:$O$86,15,0)),0,VLOOKUP($S$212,'TAR FIN'!$A$1:$O$86,15,0))</f>
        <v>0</v>
      </c>
      <c r="W212" s="6">
        <f>IF(ISERROR(VLOOKUP($T$212,'TAR FIN'!$A$1:$O$86,15,0)),0,VLOOKUP($T$212,'TAR FIN'!$A$1:$O$86,15,0))</f>
        <v>556.84</v>
      </c>
      <c r="X212" s="6">
        <f>IF(ISERROR(VLOOKUP($U$212,'TAR FIN'!$A$1:$O$86,15,0)),0,VLOOKUP($U$212,'TAR FIN'!$A$1:$O$86,15,0))</f>
        <v>131.87</v>
      </c>
      <c r="Y212" s="6"/>
      <c r="Z212" s="6">
        <f ca="1">('TUSD BE'!$AM$48+'TUSD BF'!$AM$48+'TUSD CVA'!$AM$48)*1</f>
        <v>670.0842907267272</v>
      </c>
      <c r="AA212" s="6">
        <f>('TE BE'!$AB$39+'TE BF'!$AB$39+'TE CVA'!$AB$39)*1</f>
        <v>116.42847759142431</v>
      </c>
      <c r="AB212" s="6">
        <f>$K$212*$V$212</f>
        <v>0</v>
      </c>
      <c r="AC212" s="6">
        <f>$M$212*$W$212</f>
        <v>3903.4484000000002</v>
      </c>
      <c r="AD212" s="6">
        <f>$O$212*$X$212</f>
        <v>924.40869999999995</v>
      </c>
      <c r="AE212" s="6">
        <f>$K$212*$Y$212</f>
        <v>0</v>
      </c>
      <c r="AF212" s="6">
        <f ca="1">$M$212*$Z$212</f>
        <v>4697.2908779943573</v>
      </c>
      <c r="AG212" s="6">
        <f>$O$212*$AA$212</f>
        <v>816.16362791588438</v>
      </c>
    </row>
    <row r="213" spans="1:33" ht="11.25" customHeight="1" x14ac:dyDescent="0.25">
      <c r="A213" s="4" t="s">
        <v>21</v>
      </c>
      <c r="B213" s="4" t="s">
        <v>37</v>
      </c>
      <c r="C213" s="4" t="s">
        <v>23</v>
      </c>
      <c r="D213" s="4" t="s">
        <v>43</v>
      </c>
      <c r="E213" s="4" t="s">
        <v>25</v>
      </c>
      <c r="F213" s="4" t="s">
        <v>25</v>
      </c>
      <c r="G213" s="4" t="s">
        <v>25</v>
      </c>
      <c r="H213" s="4" t="s">
        <v>25</v>
      </c>
      <c r="I213" s="5">
        <v>44593</v>
      </c>
      <c r="J213" s="6">
        <v>0</v>
      </c>
      <c r="K213" s="6">
        <v>0</v>
      </c>
      <c r="L213" s="6">
        <v>7.4349999999999996</v>
      </c>
      <c r="M213" s="6">
        <v>7.4349999999999996</v>
      </c>
      <c r="N213" s="6">
        <v>7.4349999999999996</v>
      </c>
      <c r="O213" s="6">
        <v>7.4349999999999996</v>
      </c>
      <c r="P213" s="6">
        <v>18</v>
      </c>
      <c r="Q213" s="4" t="s">
        <v>26</v>
      </c>
      <c r="R213" s="4">
        <v>0</v>
      </c>
      <c r="S213" s="6">
        <v>0</v>
      </c>
      <c r="T213" s="6">
        <v>40</v>
      </c>
      <c r="U213" s="6">
        <v>83</v>
      </c>
      <c r="V213" s="6">
        <f>IF(ISERROR(VLOOKUP($S$213,'TAR FIN'!$A$1:$O$86,15,0)),0,VLOOKUP($S$213,'TAR FIN'!$A$1:$O$86,15,0))</f>
        <v>0</v>
      </c>
      <c r="W213" s="6">
        <f>IF(ISERROR(VLOOKUP($T$213,'TAR FIN'!$A$1:$O$86,15,0)),0,VLOOKUP($T$213,'TAR FIN'!$A$1:$O$86,15,0))</f>
        <v>556.84</v>
      </c>
      <c r="X213" s="6">
        <f>IF(ISERROR(VLOOKUP($U$213,'TAR FIN'!$A$1:$O$86,15,0)),0,VLOOKUP($U$213,'TAR FIN'!$A$1:$O$86,15,0))</f>
        <v>131.87</v>
      </c>
      <c r="Y213" s="6"/>
      <c r="Z213" s="6">
        <f ca="1">('TUSD BE'!$AM$48+'TUSD BF'!$AM$48+'TUSD CVA'!$AM$48)*1</f>
        <v>670.0842907267272</v>
      </c>
      <c r="AA213" s="6">
        <f>('TE BE'!$AB$39+'TE BF'!$AB$39+'TE CVA'!$AB$39)*1</f>
        <v>116.42847759142431</v>
      </c>
      <c r="AB213" s="6">
        <f>$K$213*$V$213</f>
        <v>0</v>
      </c>
      <c r="AC213" s="6">
        <f>$M$213*$W$213</f>
        <v>4140.1054000000004</v>
      </c>
      <c r="AD213" s="6">
        <f>$O$213*$X$213</f>
        <v>980.45344999999998</v>
      </c>
      <c r="AE213" s="6">
        <f>$K$213*$Y$213</f>
        <v>0</v>
      </c>
      <c r="AF213" s="6">
        <f ca="1">$M$213*$Z$213</f>
        <v>4982.0767015532165</v>
      </c>
      <c r="AG213" s="6">
        <f>$O$213*$AA$213</f>
        <v>865.64573089223973</v>
      </c>
    </row>
    <row r="214" spans="1:33" ht="11.25" customHeight="1" x14ac:dyDescent="0.25">
      <c r="A214" s="4" t="s">
        <v>21</v>
      </c>
      <c r="B214" s="4" t="s">
        <v>37</v>
      </c>
      <c r="C214" s="4" t="s">
        <v>23</v>
      </c>
      <c r="D214" s="4" t="s">
        <v>43</v>
      </c>
      <c r="E214" s="4" t="s">
        <v>25</v>
      </c>
      <c r="F214" s="4" t="s">
        <v>25</v>
      </c>
      <c r="G214" s="4" t="s">
        <v>25</v>
      </c>
      <c r="H214" s="4" t="s">
        <v>25</v>
      </c>
      <c r="I214" s="5">
        <v>44621</v>
      </c>
      <c r="J214" s="6">
        <v>0</v>
      </c>
      <c r="K214" s="6">
        <v>0</v>
      </c>
      <c r="L214" s="6">
        <v>11.063000000000001</v>
      </c>
      <c r="M214" s="6">
        <v>11.063000000000001</v>
      </c>
      <c r="N214" s="6">
        <v>11.063000000000001</v>
      </c>
      <c r="O214" s="6">
        <v>11.063000000000001</v>
      </c>
      <c r="P214" s="6">
        <v>18</v>
      </c>
      <c r="Q214" s="4" t="s">
        <v>26</v>
      </c>
      <c r="R214" s="4">
        <v>0</v>
      </c>
      <c r="S214" s="6">
        <v>0</v>
      </c>
      <c r="T214" s="6">
        <v>40</v>
      </c>
      <c r="U214" s="6">
        <v>83</v>
      </c>
      <c r="V214" s="6">
        <f>IF(ISERROR(VLOOKUP($S$214,'TAR FIN'!$A$1:$O$86,15,0)),0,VLOOKUP($S$214,'TAR FIN'!$A$1:$O$86,15,0))</f>
        <v>0</v>
      </c>
      <c r="W214" s="6">
        <f>IF(ISERROR(VLOOKUP($T$214,'TAR FIN'!$A$1:$O$86,15,0)),0,VLOOKUP($T$214,'TAR FIN'!$A$1:$O$86,15,0))</f>
        <v>556.84</v>
      </c>
      <c r="X214" s="6">
        <f>IF(ISERROR(VLOOKUP($U$214,'TAR FIN'!$A$1:$O$86,15,0)),0,VLOOKUP($U$214,'TAR FIN'!$A$1:$O$86,15,0))</f>
        <v>131.87</v>
      </c>
      <c r="Y214" s="6"/>
      <c r="Z214" s="6">
        <f ca="1">('TUSD BE'!$AM$48+'TUSD BF'!$AM$48+'TUSD CVA'!$AM$48)*1</f>
        <v>670.0842907267272</v>
      </c>
      <c r="AA214" s="6">
        <f>('TE BE'!$AB$39+'TE BF'!$AB$39+'TE CVA'!$AB$39)*1</f>
        <v>116.42847759142431</v>
      </c>
      <c r="AB214" s="6">
        <f>$K$214*$V$214</f>
        <v>0</v>
      </c>
      <c r="AC214" s="6">
        <f>$M$214*$W$214</f>
        <v>6160.320920000001</v>
      </c>
      <c r="AD214" s="6">
        <f>$O$214*$X$214</f>
        <v>1458.8778100000002</v>
      </c>
      <c r="AE214" s="6">
        <f>$K$214*$Y$214</f>
        <v>0</v>
      </c>
      <c r="AF214" s="6">
        <f ca="1">$M$214*$Z$214</f>
        <v>7413.1425083097838</v>
      </c>
      <c r="AG214" s="6">
        <f>$O$214*$AA$214</f>
        <v>1288.0482475939273</v>
      </c>
    </row>
    <row r="215" spans="1:33" ht="11.25" customHeight="1" x14ac:dyDescent="0.25">
      <c r="A215" s="4" t="s">
        <v>21</v>
      </c>
      <c r="B215" s="4" t="s">
        <v>37</v>
      </c>
      <c r="C215" s="4" t="s">
        <v>23</v>
      </c>
      <c r="D215" s="4" t="s">
        <v>43</v>
      </c>
      <c r="E215" s="4" t="s">
        <v>25</v>
      </c>
      <c r="F215" s="4" t="s">
        <v>25</v>
      </c>
      <c r="G215" s="4" t="s">
        <v>25</v>
      </c>
      <c r="H215" s="4" t="s">
        <v>25</v>
      </c>
      <c r="I215" s="5">
        <v>44652</v>
      </c>
      <c r="J215" s="6">
        <v>0</v>
      </c>
      <c r="K215" s="6">
        <v>0</v>
      </c>
      <c r="L215" s="6">
        <v>11.122</v>
      </c>
      <c r="M215" s="6">
        <v>11.122</v>
      </c>
      <c r="N215" s="6">
        <v>11.122</v>
      </c>
      <c r="O215" s="6">
        <v>11.122</v>
      </c>
      <c r="P215" s="6">
        <v>18</v>
      </c>
      <c r="Q215" s="4" t="s">
        <v>26</v>
      </c>
      <c r="R215" s="4">
        <v>0</v>
      </c>
      <c r="S215" s="6">
        <v>0</v>
      </c>
      <c r="T215" s="6">
        <v>40</v>
      </c>
      <c r="U215" s="6">
        <v>83</v>
      </c>
      <c r="V215" s="6">
        <f>IF(ISERROR(VLOOKUP($S$215,'TAR FIN'!$A$1:$O$86,15,0)),0,VLOOKUP($S$215,'TAR FIN'!$A$1:$O$86,15,0))</f>
        <v>0</v>
      </c>
      <c r="W215" s="6">
        <f>IF(ISERROR(VLOOKUP($T$215,'TAR FIN'!$A$1:$O$86,15,0)),0,VLOOKUP($T$215,'TAR FIN'!$A$1:$O$86,15,0))</f>
        <v>556.84</v>
      </c>
      <c r="X215" s="6">
        <f>IF(ISERROR(VLOOKUP($U$215,'TAR FIN'!$A$1:$O$86,15,0)),0,VLOOKUP($U$215,'TAR FIN'!$A$1:$O$86,15,0))</f>
        <v>131.87</v>
      </c>
      <c r="Y215" s="6"/>
      <c r="Z215" s="6">
        <f ca="1">('TUSD BE'!$AM$48+'TUSD BF'!$AM$48+'TUSD CVA'!$AM$48)*1</f>
        <v>670.0842907267272</v>
      </c>
      <c r="AA215" s="6">
        <f>('TE BE'!$AB$39+'TE BF'!$AB$39+'TE CVA'!$AB$39)*1</f>
        <v>116.42847759142431</v>
      </c>
      <c r="AB215" s="6">
        <f>$K$215*$V$215</f>
        <v>0</v>
      </c>
      <c r="AC215" s="6">
        <f>$M$215*$W$215</f>
        <v>6193.1744800000006</v>
      </c>
      <c r="AD215" s="6">
        <f>$O$215*$X$215</f>
        <v>1466.65814</v>
      </c>
      <c r="AE215" s="6">
        <f>$K$215*$Y$215</f>
        <v>0</v>
      </c>
      <c r="AF215" s="6">
        <f ca="1">$M$215*$Z$215</f>
        <v>7452.6774814626597</v>
      </c>
      <c r="AG215" s="6">
        <f>$O$215*$AA$215</f>
        <v>1294.9175277718211</v>
      </c>
    </row>
    <row r="216" spans="1:33" ht="11.25" customHeight="1" x14ac:dyDescent="0.25">
      <c r="A216" s="4" t="s">
        <v>21</v>
      </c>
      <c r="B216" s="4" t="s">
        <v>37</v>
      </c>
      <c r="C216" s="4" t="s">
        <v>23</v>
      </c>
      <c r="D216" s="4" t="s">
        <v>43</v>
      </c>
      <c r="E216" s="4" t="s">
        <v>25</v>
      </c>
      <c r="F216" s="4" t="s">
        <v>25</v>
      </c>
      <c r="G216" s="4" t="s">
        <v>25</v>
      </c>
      <c r="H216" s="4" t="s">
        <v>25</v>
      </c>
      <c r="I216" s="5">
        <v>44682</v>
      </c>
      <c r="J216" s="6">
        <v>0</v>
      </c>
      <c r="K216" s="6">
        <v>0</v>
      </c>
      <c r="L216" s="6">
        <v>10.375</v>
      </c>
      <c r="M216" s="6">
        <v>10.375</v>
      </c>
      <c r="N216" s="6">
        <v>10.375</v>
      </c>
      <c r="O216" s="6">
        <v>10.375</v>
      </c>
      <c r="P216" s="6">
        <v>18</v>
      </c>
      <c r="Q216" s="4" t="s">
        <v>26</v>
      </c>
      <c r="R216" s="4">
        <v>0</v>
      </c>
      <c r="S216" s="6">
        <v>0</v>
      </c>
      <c r="T216" s="6">
        <v>40</v>
      </c>
      <c r="U216" s="6">
        <v>83</v>
      </c>
      <c r="V216" s="6">
        <f>IF(ISERROR(VLOOKUP($S$216,'TAR FIN'!$A$1:$O$86,15,0)),0,VLOOKUP($S$216,'TAR FIN'!$A$1:$O$86,15,0))</f>
        <v>0</v>
      </c>
      <c r="W216" s="6">
        <f>IF(ISERROR(VLOOKUP($T$216,'TAR FIN'!$A$1:$O$86,15,0)),0,VLOOKUP($T$216,'TAR FIN'!$A$1:$O$86,15,0))</f>
        <v>556.84</v>
      </c>
      <c r="X216" s="6">
        <f>IF(ISERROR(VLOOKUP($U$216,'TAR FIN'!$A$1:$O$86,15,0)),0,VLOOKUP($U$216,'TAR FIN'!$A$1:$O$86,15,0))</f>
        <v>131.87</v>
      </c>
      <c r="Y216" s="6"/>
      <c r="Z216" s="6">
        <f ca="1">('TUSD BE'!$AM$48+'TUSD BF'!$AM$48+'TUSD CVA'!$AM$48)*1</f>
        <v>670.0842907267272</v>
      </c>
      <c r="AA216" s="6">
        <f>('TE BE'!$AB$39+'TE BF'!$AB$39+'TE CVA'!$AB$39)*1</f>
        <v>116.42847759142431</v>
      </c>
      <c r="AB216" s="6">
        <f>$K$216*$V$216</f>
        <v>0</v>
      </c>
      <c r="AC216" s="6">
        <f>$M$216*$W$216</f>
        <v>5777.2150000000001</v>
      </c>
      <c r="AD216" s="6">
        <f>$O$216*$X$216</f>
        <v>1368.1512500000001</v>
      </c>
      <c r="AE216" s="6">
        <f>$K$216*$Y$216</f>
        <v>0</v>
      </c>
      <c r="AF216" s="6">
        <f ca="1">$M$216*$Z$216</f>
        <v>6952.1245162897949</v>
      </c>
      <c r="AG216" s="6">
        <f>$O$216*$AA$216</f>
        <v>1207.9454550110272</v>
      </c>
    </row>
    <row r="217" spans="1:33" ht="11.25" customHeight="1" x14ac:dyDescent="0.25">
      <c r="A217" s="4" t="s">
        <v>21</v>
      </c>
      <c r="B217" s="4" t="s">
        <v>37</v>
      </c>
      <c r="C217" s="4" t="s">
        <v>23</v>
      </c>
      <c r="D217" s="4" t="s">
        <v>43</v>
      </c>
      <c r="E217" s="4" t="s">
        <v>25</v>
      </c>
      <c r="F217" s="4" t="s">
        <v>25</v>
      </c>
      <c r="G217" s="4" t="s">
        <v>25</v>
      </c>
      <c r="H217" s="4" t="s">
        <v>25</v>
      </c>
      <c r="I217" s="5">
        <v>44713</v>
      </c>
      <c r="J217" s="6">
        <v>0</v>
      </c>
      <c r="K217" s="6">
        <v>0</v>
      </c>
      <c r="L217" s="6">
        <v>12.573</v>
      </c>
      <c r="M217" s="6">
        <v>12.573</v>
      </c>
      <c r="N217" s="6">
        <v>12.573</v>
      </c>
      <c r="O217" s="6">
        <v>12.573</v>
      </c>
      <c r="P217" s="6">
        <v>18</v>
      </c>
      <c r="Q217" s="4" t="s">
        <v>26</v>
      </c>
      <c r="R217" s="4">
        <v>0</v>
      </c>
      <c r="S217" s="6">
        <v>0</v>
      </c>
      <c r="T217" s="6">
        <v>40</v>
      </c>
      <c r="U217" s="6">
        <v>83</v>
      </c>
      <c r="V217" s="6">
        <f>IF(ISERROR(VLOOKUP($S$217,'TAR FIN'!$A$1:$O$86,15,0)),0,VLOOKUP($S$217,'TAR FIN'!$A$1:$O$86,15,0))</f>
        <v>0</v>
      </c>
      <c r="W217" s="6">
        <f>IF(ISERROR(VLOOKUP($T$217,'TAR FIN'!$A$1:$O$86,15,0)),0,VLOOKUP($T$217,'TAR FIN'!$A$1:$O$86,15,0))</f>
        <v>556.84</v>
      </c>
      <c r="X217" s="6">
        <f>IF(ISERROR(VLOOKUP($U$217,'TAR FIN'!$A$1:$O$86,15,0)),0,VLOOKUP($U$217,'TAR FIN'!$A$1:$O$86,15,0))</f>
        <v>131.87</v>
      </c>
      <c r="Y217" s="6"/>
      <c r="Z217" s="6">
        <f ca="1">('TUSD BE'!$AM$48+'TUSD BF'!$AM$48+'TUSD CVA'!$AM$48)*1</f>
        <v>670.0842907267272</v>
      </c>
      <c r="AA217" s="6">
        <f>('TE BE'!$AB$39+'TE BF'!$AB$39+'TE CVA'!$AB$39)*1</f>
        <v>116.42847759142431</v>
      </c>
      <c r="AB217" s="6">
        <f>$K$217*$V$217</f>
        <v>0</v>
      </c>
      <c r="AC217" s="6">
        <f>$M$217*$W$217</f>
        <v>7001.1493200000004</v>
      </c>
      <c r="AD217" s="6">
        <f>$O$217*$X$217</f>
        <v>1658.0015100000001</v>
      </c>
      <c r="AE217" s="6">
        <f>$K$217*$Y$217</f>
        <v>0</v>
      </c>
      <c r="AF217" s="6">
        <f ca="1">$M$217*$Z$217</f>
        <v>8424.9697873071418</v>
      </c>
      <c r="AG217" s="6">
        <f>$O$217*$AA$217</f>
        <v>1463.855248756978</v>
      </c>
    </row>
    <row r="218" spans="1:33" ht="11.25" customHeight="1" x14ac:dyDescent="0.25">
      <c r="A218" s="4" t="s">
        <v>21</v>
      </c>
      <c r="B218" s="4" t="s">
        <v>37</v>
      </c>
      <c r="C218" s="4" t="s">
        <v>23</v>
      </c>
      <c r="D218" s="4" t="s">
        <v>47</v>
      </c>
      <c r="E218" s="4" t="s">
        <v>48</v>
      </c>
      <c r="F218" s="4" t="s">
        <v>25</v>
      </c>
      <c r="G218" s="4" t="s">
        <v>25</v>
      </c>
      <c r="H218" s="4" t="s">
        <v>25</v>
      </c>
      <c r="I218" s="5">
        <v>44378</v>
      </c>
      <c r="J218" s="6">
        <v>0</v>
      </c>
      <c r="K218" s="58">
        <v>0</v>
      </c>
      <c r="L218" s="6">
        <v>5.45</v>
      </c>
      <c r="M218" s="58">
        <v>5.45</v>
      </c>
      <c r="N218" s="6">
        <v>5.45</v>
      </c>
      <c r="O218" s="58">
        <v>5.45</v>
      </c>
      <c r="P218" s="6">
        <v>1</v>
      </c>
      <c r="Q218" s="4" t="s">
        <v>26</v>
      </c>
      <c r="R218" s="4">
        <v>0</v>
      </c>
      <c r="S218" s="6">
        <v>0</v>
      </c>
      <c r="T218" s="6">
        <v>40</v>
      </c>
      <c r="U218" s="6">
        <v>83</v>
      </c>
      <c r="V218" s="58">
        <f>IF(ISERROR(VLOOKUP($S$218,'TAR FIN'!$A$1:$O$86,15,0)),0,VLOOKUP($S$218,'TAR FIN'!$A$1:$O$86,15,0))</f>
        <v>0</v>
      </c>
      <c r="W218" s="58">
        <f>IF(ISERROR(VLOOKUP($T$218,'TAR FIN'!$A$1:$O$86,15,0)),0,VLOOKUP($T$218,'TAR FIN'!$A$1:$O$86,15,0))*(1-0.06)</f>
        <v>523.42960000000005</v>
      </c>
      <c r="X218" s="58">
        <f>IF(ISERROR(VLOOKUP($U$218,'TAR FIN'!$A$1:$O$86,15,0)),0,VLOOKUP($U$218,'TAR FIN'!$A$1:$O$86,15,0))*(1-0.06)</f>
        <v>123.95779999999999</v>
      </c>
      <c r="Y218" s="58"/>
      <c r="Z218" s="58">
        <f ca="1">('TUSD BE'!$AM$48+'TUSD BF'!$AM$48+'TUSD CVA'!$AM$48)*1*(1-0.03)</f>
        <v>649.98176200492537</v>
      </c>
      <c r="AA218" s="58">
        <f>('TE BE'!$AB$39+'TE BF'!$AB$39+'TE CVA'!$AB$39)*1*(1-0.03)</f>
        <v>112.93562326368158</v>
      </c>
      <c r="AB218" s="6">
        <f>$K$218*$V$218</f>
        <v>0</v>
      </c>
      <c r="AC218" s="6">
        <f>$M$218*$W$218</f>
        <v>2852.6913200000004</v>
      </c>
      <c r="AD218" s="6">
        <f>$O$218*$X$218</f>
        <v>675.57001000000002</v>
      </c>
      <c r="AE218" s="6">
        <f>$K$218*$Y$218</f>
        <v>0</v>
      </c>
      <c r="AF218" s="6">
        <f ca="1">$M$218*$Z$218</f>
        <v>3542.4006029268435</v>
      </c>
      <c r="AG218" s="6">
        <f>$O$218*$AA$218</f>
        <v>615.49914678706466</v>
      </c>
    </row>
    <row r="219" spans="1:33" ht="11.25" customHeight="1" x14ac:dyDescent="0.25">
      <c r="A219" s="4" t="s">
        <v>21</v>
      </c>
      <c r="B219" s="4" t="s">
        <v>37</v>
      </c>
      <c r="C219" s="4" t="s">
        <v>23</v>
      </c>
      <c r="D219" s="4" t="s">
        <v>47</v>
      </c>
      <c r="E219" s="4" t="s">
        <v>48</v>
      </c>
      <c r="F219" s="4" t="s">
        <v>25</v>
      </c>
      <c r="G219" s="4" t="s">
        <v>25</v>
      </c>
      <c r="H219" s="4" t="s">
        <v>25</v>
      </c>
      <c r="I219" s="5">
        <v>44409</v>
      </c>
      <c r="J219" s="6">
        <v>0</v>
      </c>
      <c r="K219" s="58">
        <v>0</v>
      </c>
      <c r="L219" s="6">
        <v>6.55</v>
      </c>
      <c r="M219" s="58">
        <v>6.55</v>
      </c>
      <c r="N219" s="6">
        <v>6.55</v>
      </c>
      <c r="O219" s="58">
        <v>6.55</v>
      </c>
      <c r="P219" s="6">
        <v>1</v>
      </c>
      <c r="Q219" s="4" t="s">
        <v>26</v>
      </c>
      <c r="R219" s="4">
        <v>0</v>
      </c>
      <c r="S219" s="6">
        <v>0</v>
      </c>
      <c r="T219" s="6">
        <v>40</v>
      </c>
      <c r="U219" s="6">
        <v>83</v>
      </c>
      <c r="V219" s="58">
        <f>IF(ISERROR(VLOOKUP($S$219,'TAR FIN'!$A$1:$O$86,15,0)),0,VLOOKUP($S$219,'TAR FIN'!$A$1:$O$86,15,0))</f>
        <v>0</v>
      </c>
      <c r="W219" s="58">
        <f>IF(ISERROR(VLOOKUP($T$219,'TAR FIN'!$A$1:$O$86,15,0)),0,VLOOKUP($T$219,'TAR FIN'!$A$1:$O$86,15,0))*(1-0.06)</f>
        <v>523.42960000000005</v>
      </c>
      <c r="X219" s="58">
        <f>IF(ISERROR(VLOOKUP($U$219,'TAR FIN'!$A$1:$O$86,15,0)),0,VLOOKUP($U$219,'TAR FIN'!$A$1:$O$86,15,0))*(1-0.06)</f>
        <v>123.95779999999999</v>
      </c>
      <c r="Y219" s="58"/>
      <c r="Z219" s="58">
        <f ca="1">('TUSD BE'!$AM$48+'TUSD BF'!$AM$48+'TUSD CVA'!$AM$48)*1*(1-0.03)</f>
        <v>649.98176200492537</v>
      </c>
      <c r="AA219" s="58">
        <f>('TE BE'!$AB$39+'TE BF'!$AB$39+'TE CVA'!$AB$39)*1*(1-0.03)</f>
        <v>112.93562326368158</v>
      </c>
      <c r="AB219" s="6">
        <f>$K$219*$V$219</f>
        <v>0</v>
      </c>
      <c r="AC219" s="6">
        <f>$M$219*$W$219</f>
        <v>3428.4638800000002</v>
      </c>
      <c r="AD219" s="6">
        <f>$O$219*$X$219</f>
        <v>811.92358999999988</v>
      </c>
      <c r="AE219" s="6">
        <f>$K$219*$Y$219</f>
        <v>0</v>
      </c>
      <c r="AF219" s="6">
        <f ca="1">$M$219*$Z$219</f>
        <v>4257.380541132261</v>
      </c>
      <c r="AG219" s="6">
        <f>$O$219*$AA$219</f>
        <v>739.72833237711427</v>
      </c>
    </row>
    <row r="220" spans="1:33" ht="11.25" customHeight="1" x14ac:dyDescent="0.25">
      <c r="A220" s="4" t="s">
        <v>21</v>
      </c>
      <c r="B220" s="4" t="s">
        <v>37</v>
      </c>
      <c r="C220" s="4" t="s">
        <v>23</v>
      </c>
      <c r="D220" s="4" t="s">
        <v>47</v>
      </c>
      <c r="E220" s="4" t="s">
        <v>48</v>
      </c>
      <c r="F220" s="4" t="s">
        <v>25</v>
      </c>
      <c r="G220" s="4" t="s">
        <v>25</v>
      </c>
      <c r="H220" s="4" t="s">
        <v>25</v>
      </c>
      <c r="I220" s="5">
        <v>44440</v>
      </c>
      <c r="J220" s="6">
        <v>0</v>
      </c>
      <c r="K220" s="58">
        <v>0</v>
      </c>
      <c r="L220" s="6">
        <v>6.35</v>
      </c>
      <c r="M220" s="58">
        <v>6.35</v>
      </c>
      <c r="N220" s="6">
        <v>6.35</v>
      </c>
      <c r="O220" s="58">
        <v>6.35</v>
      </c>
      <c r="P220" s="6">
        <v>1</v>
      </c>
      <c r="Q220" s="4" t="s">
        <v>26</v>
      </c>
      <c r="R220" s="4">
        <v>0</v>
      </c>
      <c r="S220" s="6">
        <v>0</v>
      </c>
      <c r="T220" s="6">
        <v>40</v>
      </c>
      <c r="U220" s="6">
        <v>83</v>
      </c>
      <c r="V220" s="58">
        <f>IF(ISERROR(VLOOKUP($S$220,'TAR FIN'!$A$1:$O$86,15,0)),0,VLOOKUP($S$220,'TAR FIN'!$A$1:$O$86,15,0))</f>
        <v>0</v>
      </c>
      <c r="W220" s="58">
        <f>IF(ISERROR(VLOOKUP($T$220,'TAR FIN'!$A$1:$O$86,15,0)),0,VLOOKUP($T$220,'TAR FIN'!$A$1:$O$86,15,0))*(1-0.06)</f>
        <v>523.42960000000005</v>
      </c>
      <c r="X220" s="58">
        <f>IF(ISERROR(VLOOKUP($U$220,'TAR FIN'!$A$1:$O$86,15,0)),0,VLOOKUP($U$220,'TAR FIN'!$A$1:$O$86,15,0))*(1-0.06)</f>
        <v>123.95779999999999</v>
      </c>
      <c r="Y220" s="58"/>
      <c r="Z220" s="58">
        <f ca="1">('TUSD BE'!$AM$48+'TUSD BF'!$AM$48+'TUSD CVA'!$AM$48)*1*(1-0.03)</f>
        <v>649.98176200492537</v>
      </c>
      <c r="AA220" s="58">
        <f>('TE BE'!$AB$39+'TE BF'!$AB$39+'TE CVA'!$AB$39)*1*(1-0.03)</f>
        <v>112.93562326368158</v>
      </c>
      <c r="AB220" s="6">
        <f>$K$220*$V$220</f>
        <v>0</v>
      </c>
      <c r="AC220" s="6">
        <f>$M$220*$W$220</f>
        <v>3323.7779600000003</v>
      </c>
      <c r="AD220" s="6">
        <f>$O$220*$X$220</f>
        <v>787.13202999999987</v>
      </c>
      <c r="AE220" s="6">
        <f>$K$220*$Y$220</f>
        <v>0</v>
      </c>
      <c r="AF220" s="6">
        <f ca="1">$M$220*$Z$220</f>
        <v>4127.3841887312756</v>
      </c>
      <c r="AG220" s="6">
        <f>$O$220*$AA$220</f>
        <v>717.14120772437798</v>
      </c>
    </row>
    <row r="221" spans="1:33" ht="11.25" customHeight="1" x14ac:dyDescent="0.25">
      <c r="A221" s="4" t="s">
        <v>21</v>
      </c>
      <c r="B221" s="4" t="s">
        <v>37</v>
      </c>
      <c r="C221" s="4" t="s">
        <v>23</v>
      </c>
      <c r="D221" s="4" t="s">
        <v>47</v>
      </c>
      <c r="E221" s="4" t="s">
        <v>48</v>
      </c>
      <c r="F221" s="4" t="s">
        <v>25</v>
      </c>
      <c r="G221" s="4" t="s">
        <v>25</v>
      </c>
      <c r="H221" s="4" t="s">
        <v>25</v>
      </c>
      <c r="I221" s="5">
        <v>44470</v>
      </c>
      <c r="J221" s="6">
        <v>0</v>
      </c>
      <c r="K221" s="58">
        <v>0</v>
      </c>
      <c r="L221" s="6">
        <v>7.25</v>
      </c>
      <c r="M221" s="58">
        <v>7.25</v>
      </c>
      <c r="N221" s="6">
        <v>7.25</v>
      </c>
      <c r="O221" s="58">
        <v>7.25</v>
      </c>
      <c r="P221" s="6">
        <v>1</v>
      </c>
      <c r="Q221" s="4" t="s">
        <v>26</v>
      </c>
      <c r="R221" s="4">
        <v>0</v>
      </c>
      <c r="S221" s="6">
        <v>0</v>
      </c>
      <c r="T221" s="6">
        <v>40</v>
      </c>
      <c r="U221" s="6">
        <v>83</v>
      </c>
      <c r="V221" s="58">
        <f>IF(ISERROR(VLOOKUP($S$221,'TAR FIN'!$A$1:$O$86,15,0)),0,VLOOKUP($S$221,'TAR FIN'!$A$1:$O$86,15,0))</f>
        <v>0</v>
      </c>
      <c r="W221" s="58">
        <f>IF(ISERROR(VLOOKUP($T$221,'TAR FIN'!$A$1:$O$86,15,0)),0,VLOOKUP($T$221,'TAR FIN'!$A$1:$O$86,15,0))*(1-0.06)</f>
        <v>523.42960000000005</v>
      </c>
      <c r="X221" s="58">
        <f>IF(ISERROR(VLOOKUP($U$221,'TAR FIN'!$A$1:$O$86,15,0)),0,VLOOKUP($U$221,'TAR FIN'!$A$1:$O$86,15,0))*(1-0.06)</f>
        <v>123.95779999999999</v>
      </c>
      <c r="Y221" s="58"/>
      <c r="Z221" s="58">
        <f ca="1">('TUSD BE'!$AM$48+'TUSD BF'!$AM$48+'TUSD CVA'!$AM$48)*1*(1-0.03)</f>
        <v>649.98176200492537</v>
      </c>
      <c r="AA221" s="58">
        <f>('TE BE'!$AB$39+'TE BF'!$AB$39+'TE CVA'!$AB$39)*1*(1-0.03)</f>
        <v>112.93562326368158</v>
      </c>
      <c r="AB221" s="6">
        <f>$K$221*$V$221</f>
        <v>0</v>
      </c>
      <c r="AC221" s="6">
        <f>$M$221*$W$221</f>
        <v>3794.8646000000003</v>
      </c>
      <c r="AD221" s="6">
        <f>$O$221*$X$221</f>
        <v>898.69404999999995</v>
      </c>
      <c r="AE221" s="6">
        <f>$K$221*$Y$221</f>
        <v>0</v>
      </c>
      <c r="AF221" s="6">
        <f ca="1">$M$221*$Z$221</f>
        <v>4712.367774535709</v>
      </c>
      <c r="AG221" s="6">
        <f>$O$221*$AA$221</f>
        <v>818.78326866169141</v>
      </c>
    </row>
    <row r="222" spans="1:33" ht="11.25" customHeight="1" x14ac:dyDescent="0.25">
      <c r="A222" s="4" t="s">
        <v>21</v>
      </c>
      <c r="B222" s="4" t="s">
        <v>37</v>
      </c>
      <c r="C222" s="4" t="s">
        <v>23</v>
      </c>
      <c r="D222" s="4" t="s">
        <v>47</v>
      </c>
      <c r="E222" s="4" t="s">
        <v>48</v>
      </c>
      <c r="F222" s="4" t="s">
        <v>25</v>
      </c>
      <c r="G222" s="4" t="s">
        <v>25</v>
      </c>
      <c r="H222" s="4" t="s">
        <v>25</v>
      </c>
      <c r="I222" s="5">
        <v>44501</v>
      </c>
      <c r="J222" s="6">
        <v>0</v>
      </c>
      <c r="K222" s="58">
        <v>0</v>
      </c>
      <c r="L222" s="6">
        <v>7.2</v>
      </c>
      <c r="M222" s="58">
        <v>7.2</v>
      </c>
      <c r="N222" s="6">
        <v>7.2</v>
      </c>
      <c r="O222" s="58">
        <v>7.2</v>
      </c>
      <c r="P222" s="6">
        <v>1</v>
      </c>
      <c r="Q222" s="4" t="s">
        <v>26</v>
      </c>
      <c r="R222" s="4">
        <v>0</v>
      </c>
      <c r="S222" s="6">
        <v>0</v>
      </c>
      <c r="T222" s="6">
        <v>40</v>
      </c>
      <c r="U222" s="6">
        <v>83</v>
      </c>
      <c r="V222" s="58">
        <f>IF(ISERROR(VLOOKUP($S$222,'TAR FIN'!$A$1:$O$86,15,0)),0,VLOOKUP($S$222,'TAR FIN'!$A$1:$O$86,15,0))</f>
        <v>0</v>
      </c>
      <c r="W222" s="58">
        <f>IF(ISERROR(VLOOKUP($T$222,'TAR FIN'!$A$1:$O$86,15,0)),0,VLOOKUP($T$222,'TAR FIN'!$A$1:$O$86,15,0))*(1-0.06)</f>
        <v>523.42960000000005</v>
      </c>
      <c r="X222" s="58">
        <f>IF(ISERROR(VLOOKUP($U$222,'TAR FIN'!$A$1:$O$86,15,0)),0,VLOOKUP($U$222,'TAR FIN'!$A$1:$O$86,15,0))*(1-0.06)</f>
        <v>123.95779999999999</v>
      </c>
      <c r="Y222" s="58"/>
      <c r="Z222" s="58">
        <f ca="1">('TUSD BE'!$AM$48+'TUSD BF'!$AM$48+'TUSD CVA'!$AM$48)*1*(1-0.03)</f>
        <v>649.98176200492537</v>
      </c>
      <c r="AA222" s="58">
        <f>('TE BE'!$AB$39+'TE BF'!$AB$39+'TE CVA'!$AB$39)*1*(1-0.03)</f>
        <v>112.93562326368158</v>
      </c>
      <c r="AB222" s="6">
        <f>$K$222*$V$222</f>
        <v>0</v>
      </c>
      <c r="AC222" s="6">
        <f>$M$222*$W$222</f>
        <v>3768.6931200000004</v>
      </c>
      <c r="AD222" s="6">
        <f>$O$222*$X$222</f>
        <v>892.49615999999992</v>
      </c>
      <c r="AE222" s="6">
        <f>$K$222*$Y$222</f>
        <v>0</v>
      </c>
      <c r="AF222" s="6">
        <f ca="1">$M$222*$Z$222</f>
        <v>4679.8686864354631</v>
      </c>
      <c r="AG222" s="6">
        <f>$O$222*$AA$222</f>
        <v>813.13648749850734</v>
      </c>
    </row>
    <row r="223" spans="1:33" ht="11.25" customHeight="1" x14ac:dyDescent="0.25">
      <c r="A223" s="4" t="s">
        <v>21</v>
      </c>
      <c r="B223" s="4" t="s">
        <v>37</v>
      </c>
      <c r="C223" s="4" t="s">
        <v>23</v>
      </c>
      <c r="D223" s="4" t="s">
        <v>47</v>
      </c>
      <c r="E223" s="4" t="s">
        <v>48</v>
      </c>
      <c r="F223" s="4" t="s">
        <v>25</v>
      </c>
      <c r="G223" s="4" t="s">
        <v>25</v>
      </c>
      <c r="H223" s="4" t="s">
        <v>25</v>
      </c>
      <c r="I223" s="5">
        <v>44531</v>
      </c>
      <c r="J223" s="6">
        <v>0</v>
      </c>
      <c r="K223" s="58">
        <v>0</v>
      </c>
      <c r="L223" s="6">
        <v>6.25</v>
      </c>
      <c r="M223" s="58">
        <v>6.25</v>
      </c>
      <c r="N223" s="6">
        <v>6.25</v>
      </c>
      <c r="O223" s="58">
        <v>6.25</v>
      </c>
      <c r="P223" s="6">
        <v>1</v>
      </c>
      <c r="Q223" s="4" t="s">
        <v>26</v>
      </c>
      <c r="R223" s="4">
        <v>0</v>
      </c>
      <c r="S223" s="6">
        <v>0</v>
      </c>
      <c r="T223" s="6">
        <v>40</v>
      </c>
      <c r="U223" s="6">
        <v>83</v>
      </c>
      <c r="V223" s="58">
        <f>IF(ISERROR(VLOOKUP($S$223,'TAR FIN'!$A$1:$O$86,15,0)),0,VLOOKUP($S$223,'TAR FIN'!$A$1:$O$86,15,0))</f>
        <v>0</v>
      </c>
      <c r="W223" s="58">
        <f>IF(ISERROR(VLOOKUP($T$223,'TAR FIN'!$A$1:$O$86,15,0)),0,VLOOKUP($T$223,'TAR FIN'!$A$1:$O$86,15,0))*(1-0.06)</f>
        <v>523.42960000000005</v>
      </c>
      <c r="X223" s="58">
        <f>IF(ISERROR(VLOOKUP($U$223,'TAR FIN'!$A$1:$O$86,15,0)),0,VLOOKUP($U$223,'TAR FIN'!$A$1:$O$86,15,0))*(1-0.06)</f>
        <v>123.95779999999999</v>
      </c>
      <c r="Y223" s="58"/>
      <c r="Z223" s="58">
        <f ca="1">('TUSD BE'!$AM$48+'TUSD BF'!$AM$48+'TUSD CVA'!$AM$48)*1*(1-0.03)</f>
        <v>649.98176200492537</v>
      </c>
      <c r="AA223" s="58">
        <f>('TE BE'!$AB$39+'TE BF'!$AB$39+'TE CVA'!$AB$39)*1*(1-0.03)</f>
        <v>112.93562326368158</v>
      </c>
      <c r="AB223" s="6">
        <f>$K$223*$V$223</f>
        <v>0</v>
      </c>
      <c r="AC223" s="6">
        <f>$M$223*$W$223</f>
        <v>3271.4350000000004</v>
      </c>
      <c r="AD223" s="6">
        <f>$O$223*$X$223</f>
        <v>774.73624999999993</v>
      </c>
      <c r="AE223" s="6">
        <f>$K$223*$Y$223</f>
        <v>0</v>
      </c>
      <c r="AF223" s="6">
        <f ca="1">$M$223*$Z$223</f>
        <v>4062.3860125307838</v>
      </c>
      <c r="AG223" s="6">
        <f>$O$223*$AA$223</f>
        <v>705.84764539800983</v>
      </c>
    </row>
    <row r="224" spans="1:33" ht="11.25" customHeight="1" x14ac:dyDescent="0.25">
      <c r="A224" s="4" t="s">
        <v>21</v>
      </c>
      <c r="B224" s="4" t="s">
        <v>37</v>
      </c>
      <c r="C224" s="4" t="s">
        <v>23</v>
      </c>
      <c r="D224" s="4" t="s">
        <v>47</v>
      </c>
      <c r="E224" s="4" t="s">
        <v>48</v>
      </c>
      <c r="F224" s="4" t="s">
        <v>25</v>
      </c>
      <c r="G224" s="4" t="s">
        <v>25</v>
      </c>
      <c r="H224" s="4" t="s">
        <v>25</v>
      </c>
      <c r="I224" s="5">
        <v>44562</v>
      </c>
      <c r="J224" s="6">
        <v>0</v>
      </c>
      <c r="K224" s="58">
        <v>0</v>
      </c>
      <c r="L224" s="6">
        <v>7.6</v>
      </c>
      <c r="M224" s="58">
        <v>7.6</v>
      </c>
      <c r="N224" s="6">
        <v>7.6</v>
      </c>
      <c r="O224" s="58">
        <v>7.6</v>
      </c>
      <c r="P224" s="6">
        <v>1</v>
      </c>
      <c r="Q224" s="4" t="s">
        <v>26</v>
      </c>
      <c r="R224" s="4">
        <v>0</v>
      </c>
      <c r="S224" s="6">
        <v>0</v>
      </c>
      <c r="T224" s="6">
        <v>40</v>
      </c>
      <c r="U224" s="6">
        <v>83</v>
      </c>
      <c r="V224" s="58">
        <f>IF(ISERROR(VLOOKUP($S$224,'TAR FIN'!$A$1:$O$86,15,0)),0,VLOOKUP($S$224,'TAR FIN'!$A$1:$O$86,15,0))</f>
        <v>0</v>
      </c>
      <c r="W224" s="58">
        <f>IF(ISERROR(VLOOKUP($T$224,'TAR FIN'!$A$1:$O$86,15,0)),0,VLOOKUP($T$224,'TAR FIN'!$A$1:$O$86,15,0))*(1-0.06)</f>
        <v>523.42960000000005</v>
      </c>
      <c r="X224" s="58">
        <f>IF(ISERROR(VLOOKUP($U$224,'TAR FIN'!$A$1:$O$86,15,0)),0,VLOOKUP($U$224,'TAR FIN'!$A$1:$O$86,15,0))*(1-0.06)</f>
        <v>123.95779999999999</v>
      </c>
      <c r="Y224" s="58"/>
      <c r="Z224" s="58">
        <f ca="1">('TUSD BE'!$AM$48+'TUSD BF'!$AM$48+'TUSD CVA'!$AM$48)*1*(1-0.03)</f>
        <v>649.98176200492537</v>
      </c>
      <c r="AA224" s="58">
        <f>('TE BE'!$AB$39+'TE BF'!$AB$39+'TE CVA'!$AB$39)*1*(1-0.03)</f>
        <v>112.93562326368158</v>
      </c>
      <c r="AB224" s="6">
        <f>$K$224*$V$224</f>
        <v>0</v>
      </c>
      <c r="AC224" s="6">
        <f>$M$224*$W$224</f>
        <v>3978.0649600000002</v>
      </c>
      <c r="AD224" s="6">
        <f>$O$224*$X$224</f>
        <v>942.07927999999993</v>
      </c>
      <c r="AE224" s="6">
        <f>$K$224*$Y$224</f>
        <v>0</v>
      </c>
      <c r="AF224" s="6">
        <f ca="1">$M$224*$Z$224</f>
        <v>4939.8613912374321</v>
      </c>
      <c r="AG224" s="6">
        <f>$O$224*$AA$224</f>
        <v>858.31073680397992</v>
      </c>
    </row>
    <row r="225" spans="1:33" ht="11.25" customHeight="1" x14ac:dyDescent="0.25">
      <c r="A225" s="4" t="s">
        <v>21</v>
      </c>
      <c r="B225" s="4" t="s">
        <v>37</v>
      </c>
      <c r="C225" s="4" t="s">
        <v>23</v>
      </c>
      <c r="D225" s="4" t="s">
        <v>47</v>
      </c>
      <c r="E225" s="4" t="s">
        <v>48</v>
      </c>
      <c r="F225" s="4" t="s">
        <v>25</v>
      </c>
      <c r="G225" s="4" t="s">
        <v>25</v>
      </c>
      <c r="H225" s="4" t="s">
        <v>25</v>
      </c>
      <c r="I225" s="5">
        <v>44593</v>
      </c>
      <c r="J225" s="6">
        <v>0</v>
      </c>
      <c r="K225" s="58">
        <v>0</v>
      </c>
      <c r="L225" s="6">
        <v>7.3</v>
      </c>
      <c r="M225" s="58">
        <v>7.3</v>
      </c>
      <c r="N225" s="6">
        <v>7.3</v>
      </c>
      <c r="O225" s="58">
        <v>7.3</v>
      </c>
      <c r="P225" s="6">
        <v>1</v>
      </c>
      <c r="Q225" s="4" t="s">
        <v>26</v>
      </c>
      <c r="R225" s="4">
        <v>0</v>
      </c>
      <c r="S225" s="6">
        <v>0</v>
      </c>
      <c r="T225" s="6">
        <v>40</v>
      </c>
      <c r="U225" s="6">
        <v>83</v>
      </c>
      <c r="V225" s="58">
        <f>IF(ISERROR(VLOOKUP($S$225,'TAR FIN'!$A$1:$O$86,15,0)),0,VLOOKUP($S$225,'TAR FIN'!$A$1:$O$86,15,0))</f>
        <v>0</v>
      </c>
      <c r="W225" s="58">
        <f>IF(ISERROR(VLOOKUP($T$225,'TAR FIN'!$A$1:$O$86,15,0)),0,VLOOKUP($T$225,'TAR FIN'!$A$1:$O$86,15,0))*(1-0.06)</f>
        <v>523.42960000000005</v>
      </c>
      <c r="X225" s="58">
        <f>IF(ISERROR(VLOOKUP($U$225,'TAR FIN'!$A$1:$O$86,15,0)),0,VLOOKUP($U$225,'TAR FIN'!$A$1:$O$86,15,0))*(1-0.06)</f>
        <v>123.95779999999999</v>
      </c>
      <c r="Y225" s="58"/>
      <c r="Z225" s="58">
        <f ca="1">('TUSD BE'!$AM$48+'TUSD BF'!$AM$48+'TUSD CVA'!$AM$48)*1*(1-0.03)</f>
        <v>649.98176200492537</v>
      </c>
      <c r="AA225" s="58">
        <f>('TE BE'!$AB$39+'TE BF'!$AB$39+'TE CVA'!$AB$39)*1*(1-0.03)</f>
        <v>112.93562326368158</v>
      </c>
      <c r="AB225" s="6">
        <f>$K$225*$V$225</f>
        <v>0</v>
      </c>
      <c r="AC225" s="6">
        <f>$M$225*$W$225</f>
        <v>3821.0360800000003</v>
      </c>
      <c r="AD225" s="6">
        <f>$O$225*$X$225</f>
        <v>904.89193999999986</v>
      </c>
      <c r="AE225" s="6">
        <f>$K$225*$Y$225</f>
        <v>0</v>
      </c>
      <c r="AF225" s="6">
        <f ca="1">$M$225*$Z$225</f>
        <v>4744.8668626359549</v>
      </c>
      <c r="AG225" s="6">
        <f>$O$225*$AA$225</f>
        <v>824.43004982487548</v>
      </c>
    </row>
    <row r="226" spans="1:33" ht="11.25" customHeight="1" x14ac:dyDescent="0.25">
      <c r="A226" s="4" t="s">
        <v>21</v>
      </c>
      <c r="B226" s="4" t="s">
        <v>37</v>
      </c>
      <c r="C226" s="4" t="s">
        <v>23</v>
      </c>
      <c r="D226" s="4" t="s">
        <v>47</v>
      </c>
      <c r="E226" s="4" t="s">
        <v>48</v>
      </c>
      <c r="F226" s="4" t="s">
        <v>25</v>
      </c>
      <c r="G226" s="4" t="s">
        <v>25</v>
      </c>
      <c r="H226" s="4" t="s">
        <v>25</v>
      </c>
      <c r="I226" s="5">
        <v>44621</v>
      </c>
      <c r="J226" s="6">
        <v>0</v>
      </c>
      <c r="K226" s="58">
        <v>0</v>
      </c>
      <c r="L226" s="6">
        <v>4.0999999999999996</v>
      </c>
      <c r="M226" s="58">
        <v>4.0999999999999996</v>
      </c>
      <c r="N226" s="6">
        <v>4.0999999999999996</v>
      </c>
      <c r="O226" s="58">
        <v>4.0999999999999996</v>
      </c>
      <c r="P226" s="6">
        <v>1</v>
      </c>
      <c r="Q226" s="4" t="s">
        <v>26</v>
      </c>
      <c r="R226" s="4">
        <v>0</v>
      </c>
      <c r="S226" s="6">
        <v>0</v>
      </c>
      <c r="T226" s="6">
        <v>40</v>
      </c>
      <c r="U226" s="6">
        <v>83</v>
      </c>
      <c r="V226" s="58">
        <f>IF(ISERROR(VLOOKUP($S$226,'TAR FIN'!$A$1:$O$86,15,0)),0,VLOOKUP($S$226,'TAR FIN'!$A$1:$O$86,15,0))</f>
        <v>0</v>
      </c>
      <c r="W226" s="58">
        <f>IF(ISERROR(VLOOKUP($T$226,'TAR FIN'!$A$1:$O$86,15,0)),0,VLOOKUP($T$226,'TAR FIN'!$A$1:$O$86,15,0))*(1-0.06)</f>
        <v>523.42960000000005</v>
      </c>
      <c r="X226" s="58">
        <f>IF(ISERROR(VLOOKUP($U$226,'TAR FIN'!$A$1:$O$86,15,0)),0,VLOOKUP($U$226,'TAR FIN'!$A$1:$O$86,15,0))*(1-0.06)</f>
        <v>123.95779999999999</v>
      </c>
      <c r="Y226" s="58"/>
      <c r="Z226" s="58">
        <f ca="1">('TUSD BE'!$AM$48+'TUSD BF'!$AM$48+'TUSD CVA'!$AM$48)*1*(1-0.03)</f>
        <v>649.98176200492537</v>
      </c>
      <c r="AA226" s="58">
        <f>('TE BE'!$AB$39+'TE BF'!$AB$39+'TE CVA'!$AB$39)*1*(1-0.03)</f>
        <v>112.93562326368158</v>
      </c>
      <c r="AB226" s="6">
        <f>$K$226*$V$226</f>
        <v>0</v>
      </c>
      <c r="AC226" s="6">
        <f>$M$226*$W$226</f>
        <v>2146.0613600000001</v>
      </c>
      <c r="AD226" s="6">
        <f>$O$226*$X$226</f>
        <v>508.22697999999991</v>
      </c>
      <c r="AE226" s="6">
        <f>$K$226*$Y$226</f>
        <v>0</v>
      </c>
      <c r="AF226" s="6">
        <f ca="1">$M$226*$Z$226</f>
        <v>2664.9252242201937</v>
      </c>
      <c r="AG226" s="6">
        <f>$O$226*$AA$226</f>
        <v>463.0360553810944</v>
      </c>
    </row>
    <row r="227" spans="1:33" ht="11.25" customHeight="1" x14ac:dyDescent="0.25">
      <c r="A227" s="4" t="s">
        <v>21</v>
      </c>
      <c r="B227" s="4" t="s">
        <v>37</v>
      </c>
      <c r="C227" s="4" t="s">
        <v>23</v>
      </c>
      <c r="D227" s="4" t="s">
        <v>47</v>
      </c>
      <c r="E227" s="4" t="s">
        <v>48</v>
      </c>
      <c r="F227" s="4" t="s">
        <v>25</v>
      </c>
      <c r="G227" s="4" t="s">
        <v>25</v>
      </c>
      <c r="H227" s="4" t="s">
        <v>25</v>
      </c>
      <c r="I227" s="5">
        <v>44652</v>
      </c>
      <c r="J227" s="6">
        <v>0</v>
      </c>
      <c r="K227" s="58">
        <v>0</v>
      </c>
      <c r="L227" s="6">
        <v>8.6999999999999993</v>
      </c>
      <c r="M227" s="58">
        <v>8.6999999999999993</v>
      </c>
      <c r="N227" s="6">
        <v>8.6999999999999993</v>
      </c>
      <c r="O227" s="58">
        <v>8.6999999999999993</v>
      </c>
      <c r="P227" s="6">
        <v>1</v>
      </c>
      <c r="Q227" s="4" t="s">
        <v>26</v>
      </c>
      <c r="R227" s="4">
        <v>0</v>
      </c>
      <c r="S227" s="6">
        <v>0</v>
      </c>
      <c r="T227" s="6">
        <v>40</v>
      </c>
      <c r="U227" s="6">
        <v>83</v>
      </c>
      <c r="V227" s="58">
        <f>IF(ISERROR(VLOOKUP($S$227,'TAR FIN'!$A$1:$O$86,15,0)),0,VLOOKUP($S$227,'TAR FIN'!$A$1:$O$86,15,0))</f>
        <v>0</v>
      </c>
      <c r="W227" s="58">
        <f>IF(ISERROR(VLOOKUP($T$227,'TAR FIN'!$A$1:$O$86,15,0)),0,VLOOKUP($T$227,'TAR FIN'!$A$1:$O$86,15,0))*(1-0.06)</f>
        <v>523.42960000000005</v>
      </c>
      <c r="X227" s="58">
        <f>IF(ISERROR(VLOOKUP($U$227,'TAR FIN'!$A$1:$O$86,15,0)),0,VLOOKUP($U$227,'TAR FIN'!$A$1:$O$86,15,0))*(1-0.06)</f>
        <v>123.95779999999999</v>
      </c>
      <c r="Y227" s="58"/>
      <c r="Z227" s="58">
        <f ca="1">('TUSD BE'!$AM$48+'TUSD BF'!$AM$48+'TUSD CVA'!$AM$48)*1*(1-0.03)</f>
        <v>649.98176200492537</v>
      </c>
      <c r="AA227" s="58">
        <f>('TE BE'!$AB$39+'TE BF'!$AB$39+'TE CVA'!$AB$39)*1*(1-0.03)</f>
        <v>112.93562326368158</v>
      </c>
      <c r="AB227" s="6">
        <f>$K$227*$V$227</f>
        <v>0</v>
      </c>
      <c r="AC227" s="6">
        <f>$M$227*$W$227</f>
        <v>4553.83752</v>
      </c>
      <c r="AD227" s="6">
        <f>$O$227*$X$227</f>
        <v>1078.4328599999999</v>
      </c>
      <c r="AE227" s="6">
        <f>$K$227*$Y$227</f>
        <v>0</v>
      </c>
      <c r="AF227" s="6">
        <f ca="1">$M$227*$Z$227</f>
        <v>5654.8413294428501</v>
      </c>
      <c r="AG227" s="6">
        <f>$O$227*$AA$227</f>
        <v>982.53992239402965</v>
      </c>
    </row>
    <row r="228" spans="1:33" ht="11.25" customHeight="1" x14ac:dyDescent="0.25">
      <c r="A228" s="4" t="s">
        <v>21</v>
      </c>
      <c r="B228" s="4" t="s">
        <v>37</v>
      </c>
      <c r="C228" s="4" t="s">
        <v>23</v>
      </c>
      <c r="D228" s="4" t="s">
        <v>47</v>
      </c>
      <c r="E228" s="4" t="s">
        <v>48</v>
      </c>
      <c r="F228" s="4" t="s">
        <v>25</v>
      </c>
      <c r="G228" s="4" t="s">
        <v>25</v>
      </c>
      <c r="H228" s="4" t="s">
        <v>25</v>
      </c>
      <c r="I228" s="5">
        <v>44682</v>
      </c>
      <c r="J228" s="6">
        <v>0</v>
      </c>
      <c r="K228" s="58">
        <v>0</v>
      </c>
      <c r="L228" s="6">
        <v>8.9</v>
      </c>
      <c r="M228" s="58">
        <v>8.9</v>
      </c>
      <c r="N228" s="6">
        <v>8.9</v>
      </c>
      <c r="O228" s="58">
        <v>8.9</v>
      </c>
      <c r="P228" s="6">
        <v>1</v>
      </c>
      <c r="Q228" s="4" t="s">
        <v>26</v>
      </c>
      <c r="R228" s="4">
        <v>0</v>
      </c>
      <c r="S228" s="6">
        <v>0</v>
      </c>
      <c r="T228" s="6">
        <v>40</v>
      </c>
      <c r="U228" s="6">
        <v>83</v>
      </c>
      <c r="V228" s="58">
        <f>IF(ISERROR(VLOOKUP($S$228,'TAR FIN'!$A$1:$O$86,15,0)),0,VLOOKUP($S$228,'TAR FIN'!$A$1:$O$86,15,0))</f>
        <v>0</v>
      </c>
      <c r="W228" s="58">
        <f>IF(ISERROR(VLOOKUP($T$228,'TAR FIN'!$A$1:$O$86,15,0)),0,VLOOKUP($T$228,'TAR FIN'!$A$1:$O$86,15,0))*(1-0.06)</f>
        <v>523.42960000000005</v>
      </c>
      <c r="X228" s="58">
        <f>IF(ISERROR(VLOOKUP($U$228,'TAR FIN'!$A$1:$O$86,15,0)),0,VLOOKUP($U$228,'TAR FIN'!$A$1:$O$86,15,0))*(1-0.06)</f>
        <v>123.95779999999999</v>
      </c>
      <c r="Y228" s="58"/>
      <c r="Z228" s="58">
        <f ca="1">('TUSD BE'!$AM$48+'TUSD BF'!$AM$48+'TUSD CVA'!$AM$48)*1*(1-0.03)</f>
        <v>649.98176200492537</v>
      </c>
      <c r="AA228" s="58">
        <f>('TE BE'!$AB$39+'TE BF'!$AB$39+'TE CVA'!$AB$39)*1*(1-0.03)</f>
        <v>112.93562326368158</v>
      </c>
      <c r="AB228" s="6">
        <f>$K$228*$V$228</f>
        <v>0</v>
      </c>
      <c r="AC228" s="6">
        <f>$M$228*$W$228</f>
        <v>4658.5234400000008</v>
      </c>
      <c r="AD228" s="6">
        <f>$O$228*$X$228</f>
        <v>1103.22442</v>
      </c>
      <c r="AE228" s="6">
        <f>$K$228*$Y$228</f>
        <v>0</v>
      </c>
      <c r="AF228" s="6">
        <f ca="1">$M$228*$Z$228</f>
        <v>5784.8376818438364</v>
      </c>
      <c r="AG228" s="6">
        <f>$O$228*$AA$228</f>
        <v>1005.1270470467661</v>
      </c>
    </row>
    <row r="229" spans="1:33" ht="11.25" customHeight="1" x14ac:dyDescent="0.25">
      <c r="A229" s="4" t="s">
        <v>21</v>
      </c>
      <c r="B229" s="4" t="s">
        <v>37</v>
      </c>
      <c r="C229" s="4" t="s">
        <v>23</v>
      </c>
      <c r="D229" s="4" t="s">
        <v>47</v>
      </c>
      <c r="E229" s="4" t="s">
        <v>48</v>
      </c>
      <c r="F229" s="4" t="s">
        <v>25</v>
      </c>
      <c r="G229" s="4" t="s">
        <v>25</v>
      </c>
      <c r="H229" s="4" t="s">
        <v>25</v>
      </c>
      <c r="I229" s="5">
        <v>44713</v>
      </c>
      <c r="J229" s="6">
        <v>0</v>
      </c>
      <c r="K229" s="58">
        <v>0</v>
      </c>
      <c r="L229" s="6">
        <v>8.65</v>
      </c>
      <c r="M229" s="58">
        <v>8.65</v>
      </c>
      <c r="N229" s="6">
        <v>8.65</v>
      </c>
      <c r="O229" s="58">
        <v>8.65</v>
      </c>
      <c r="P229" s="6">
        <v>1</v>
      </c>
      <c r="Q229" s="4" t="s">
        <v>26</v>
      </c>
      <c r="R229" s="4">
        <v>0</v>
      </c>
      <c r="S229" s="6">
        <v>0</v>
      </c>
      <c r="T229" s="6">
        <v>40</v>
      </c>
      <c r="U229" s="6">
        <v>83</v>
      </c>
      <c r="V229" s="58">
        <f>IF(ISERROR(VLOOKUP($S$229,'TAR FIN'!$A$1:$O$86,15,0)),0,VLOOKUP($S$229,'TAR FIN'!$A$1:$O$86,15,0))</f>
        <v>0</v>
      </c>
      <c r="W229" s="58">
        <f>IF(ISERROR(VLOOKUP($T$229,'TAR FIN'!$A$1:$O$86,15,0)),0,VLOOKUP($T$229,'TAR FIN'!$A$1:$O$86,15,0))*(1-0.06)</f>
        <v>523.42960000000005</v>
      </c>
      <c r="X229" s="58">
        <f>IF(ISERROR(VLOOKUP($U$229,'TAR FIN'!$A$1:$O$86,15,0)),0,VLOOKUP($U$229,'TAR FIN'!$A$1:$O$86,15,0))*(1-0.06)</f>
        <v>123.95779999999999</v>
      </c>
      <c r="Y229" s="58"/>
      <c r="Z229" s="58">
        <f ca="1">('TUSD BE'!$AM$48+'TUSD BF'!$AM$48+'TUSD CVA'!$AM$48)*1*(1-0.03)</f>
        <v>649.98176200492537</v>
      </c>
      <c r="AA229" s="58">
        <f>('TE BE'!$AB$39+'TE BF'!$AB$39+'TE CVA'!$AB$39)*1*(1-0.03)</f>
        <v>112.93562326368158</v>
      </c>
      <c r="AB229" s="6">
        <f>$K$229*$V$229</f>
        <v>0</v>
      </c>
      <c r="AC229" s="6">
        <f>$M$229*$W$229</f>
        <v>4527.666040000001</v>
      </c>
      <c r="AD229" s="6">
        <f>$O$229*$X$229</f>
        <v>1072.23497</v>
      </c>
      <c r="AE229" s="6">
        <f>$K$229*$Y$229</f>
        <v>0</v>
      </c>
      <c r="AF229" s="6">
        <f ca="1">$M$229*$Z$229</f>
        <v>5622.3422413426051</v>
      </c>
      <c r="AG229" s="6">
        <f>$O$229*$AA$229</f>
        <v>976.89314123084569</v>
      </c>
    </row>
    <row r="230" spans="1:33" ht="11.25" customHeight="1" x14ac:dyDescent="0.25">
      <c r="A230" s="4" t="s">
        <v>21</v>
      </c>
      <c r="B230" s="4" t="s">
        <v>44</v>
      </c>
      <c r="C230" s="4" t="s">
        <v>23</v>
      </c>
      <c r="D230" s="4" t="s">
        <v>45</v>
      </c>
      <c r="E230" s="4" t="s">
        <v>46</v>
      </c>
      <c r="F230" s="4" t="s">
        <v>25</v>
      </c>
      <c r="G230" s="4" t="s">
        <v>25</v>
      </c>
      <c r="H230" s="4" t="s">
        <v>25</v>
      </c>
      <c r="I230" s="5">
        <v>44378</v>
      </c>
      <c r="J230" s="6">
        <v>0</v>
      </c>
      <c r="K230" s="6">
        <v>0</v>
      </c>
      <c r="L230" s="6">
        <v>40.082999999999998</v>
      </c>
      <c r="M230" s="6">
        <v>40.082999999999998</v>
      </c>
      <c r="N230" s="6">
        <v>40.082999999999998</v>
      </c>
      <c r="O230" s="6">
        <v>40.082999999999998</v>
      </c>
      <c r="P230" s="6">
        <v>35</v>
      </c>
      <c r="Q230" s="4" t="s">
        <v>26</v>
      </c>
      <c r="R230" s="4">
        <v>0</v>
      </c>
      <c r="S230" s="6">
        <v>0</v>
      </c>
      <c r="T230" s="6">
        <v>34</v>
      </c>
      <c r="U230" s="6">
        <v>85</v>
      </c>
      <c r="V230" s="6">
        <f>IF(ISERROR(VLOOKUP($S$230,'TAR FIN'!$A$1:$O$86,15,0)),0,VLOOKUP($S$230,'TAR FIN'!$A$1:$O$86,15,0))</f>
        <v>0</v>
      </c>
      <c r="W230" s="6">
        <f>IF(ISERROR(VLOOKUP($T$230,'TAR FIN'!$A$1:$O$86,15,0)),0,VLOOKUP($T$230,'TAR FIN'!$A$1:$O$86,15,0))</f>
        <v>306.26</v>
      </c>
      <c r="X230" s="6">
        <f>IF(ISERROR(VLOOKUP($U$230,'TAR FIN'!$A$1:$O$86,15,0)),0,VLOOKUP($U$230,'TAR FIN'!$A$1:$O$86,15,0))</f>
        <v>72.53</v>
      </c>
      <c r="Y230" s="6"/>
      <c r="Z230" s="6">
        <f ca="1">('TUSD BE'!$AM$50+'TUSD BF'!$AM$50+'TUSD CVA'!$AM$50)*1</f>
        <v>368.54635989970006</v>
      </c>
      <c r="AA230" s="6">
        <f>('TE BE'!$AB$41+'TE BF'!$AB$41+'TE CVA'!$AB$41)*1</f>
        <v>64.035662675283376</v>
      </c>
      <c r="AB230" s="6">
        <f>$K$230*$V$230</f>
        <v>0</v>
      </c>
      <c r="AC230" s="6">
        <f>$M$230*$W$230</f>
        <v>12275.819579999999</v>
      </c>
      <c r="AD230" s="6">
        <f>$O$230*$X$230</f>
        <v>2907.2199900000001</v>
      </c>
      <c r="AE230" s="6">
        <f>$K$230*$Y$230</f>
        <v>0</v>
      </c>
      <c r="AF230" s="6">
        <f ca="1">$M$230*$Z$230</f>
        <v>14772.443743859678</v>
      </c>
      <c r="AG230" s="6">
        <f>$O$230*$AA$230</f>
        <v>2566.7414670133835</v>
      </c>
    </row>
    <row r="231" spans="1:33" ht="11.25" customHeight="1" x14ac:dyDescent="0.25">
      <c r="A231" s="4" t="s">
        <v>21</v>
      </c>
      <c r="B231" s="4" t="s">
        <v>44</v>
      </c>
      <c r="C231" s="4" t="s">
        <v>23</v>
      </c>
      <c r="D231" s="4" t="s">
        <v>45</v>
      </c>
      <c r="E231" s="4" t="s">
        <v>46</v>
      </c>
      <c r="F231" s="4" t="s">
        <v>25</v>
      </c>
      <c r="G231" s="4" t="s">
        <v>25</v>
      </c>
      <c r="H231" s="4" t="s">
        <v>25</v>
      </c>
      <c r="I231" s="5">
        <v>44409</v>
      </c>
      <c r="J231" s="6">
        <v>0</v>
      </c>
      <c r="K231" s="6">
        <v>0</v>
      </c>
      <c r="L231" s="6">
        <v>41.420999999999999</v>
      </c>
      <c r="M231" s="6">
        <v>41.420999999999999</v>
      </c>
      <c r="N231" s="6">
        <v>41.420999999999999</v>
      </c>
      <c r="O231" s="6">
        <v>41.420999999999999</v>
      </c>
      <c r="P231" s="6">
        <v>35</v>
      </c>
      <c r="Q231" s="4" t="s">
        <v>26</v>
      </c>
      <c r="R231" s="4">
        <v>0</v>
      </c>
      <c r="S231" s="6">
        <v>0</v>
      </c>
      <c r="T231" s="6">
        <v>34</v>
      </c>
      <c r="U231" s="6">
        <v>85</v>
      </c>
      <c r="V231" s="6">
        <f>IF(ISERROR(VLOOKUP($S$231,'TAR FIN'!$A$1:$O$86,15,0)),0,VLOOKUP($S$231,'TAR FIN'!$A$1:$O$86,15,0))</f>
        <v>0</v>
      </c>
      <c r="W231" s="6">
        <f>IF(ISERROR(VLOOKUP($T$231,'TAR FIN'!$A$1:$O$86,15,0)),0,VLOOKUP($T$231,'TAR FIN'!$A$1:$O$86,15,0))</f>
        <v>306.26</v>
      </c>
      <c r="X231" s="6">
        <f>IF(ISERROR(VLOOKUP($U$231,'TAR FIN'!$A$1:$O$86,15,0)),0,VLOOKUP($U$231,'TAR FIN'!$A$1:$O$86,15,0))</f>
        <v>72.53</v>
      </c>
      <c r="Y231" s="6"/>
      <c r="Z231" s="6">
        <f ca="1">('TUSD BE'!$AM$50+'TUSD BF'!$AM$50+'TUSD CVA'!$AM$50)*1</f>
        <v>368.54635989970006</v>
      </c>
      <c r="AA231" s="6">
        <f>('TE BE'!$AB$41+'TE BF'!$AB$41+'TE CVA'!$AB$41)*1</f>
        <v>64.035662675283376</v>
      </c>
      <c r="AB231" s="6">
        <f>$K$231*$V$231</f>
        <v>0</v>
      </c>
      <c r="AC231" s="6">
        <f>$M$231*$W$231</f>
        <v>12685.595459999999</v>
      </c>
      <c r="AD231" s="6">
        <f>$O$231*$X$231</f>
        <v>3004.2651300000002</v>
      </c>
      <c r="AE231" s="6">
        <f>$K$231*$Y$231</f>
        <v>0</v>
      </c>
      <c r="AF231" s="6">
        <f ca="1">$M$231*$Z$231</f>
        <v>15265.558773405477</v>
      </c>
      <c r="AG231" s="6">
        <f>$O$231*$AA$231</f>
        <v>2652.4211836729128</v>
      </c>
    </row>
    <row r="232" spans="1:33" ht="11.25" customHeight="1" x14ac:dyDescent="0.25">
      <c r="A232" s="4" t="s">
        <v>21</v>
      </c>
      <c r="B232" s="4" t="s">
        <v>44</v>
      </c>
      <c r="C232" s="4" t="s">
        <v>23</v>
      </c>
      <c r="D232" s="4" t="s">
        <v>45</v>
      </c>
      <c r="E232" s="4" t="s">
        <v>46</v>
      </c>
      <c r="F232" s="4" t="s">
        <v>25</v>
      </c>
      <c r="G232" s="4" t="s">
        <v>25</v>
      </c>
      <c r="H232" s="4" t="s">
        <v>25</v>
      </c>
      <c r="I232" s="5">
        <v>44440</v>
      </c>
      <c r="J232" s="6">
        <v>0</v>
      </c>
      <c r="K232" s="6">
        <v>0</v>
      </c>
      <c r="L232" s="6">
        <v>41.75</v>
      </c>
      <c r="M232" s="6">
        <v>41.75</v>
      </c>
      <c r="N232" s="6">
        <v>41.75</v>
      </c>
      <c r="O232" s="6">
        <v>41.75</v>
      </c>
      <c r="P232" s="6">
        <v>36</v>
      </c>
      <c r="Q232" s="4" t="s">
        <v>26</v>
      </c>
      <c r="R232" s="4">
        <v>0</v>
      </c>
      <c r="S232" s="6">
        <v>0</v>
      </c>
      <c r="T232" s="6">
        <v>34</v>
      </c>
      <c r="U232" s="6">
        <v>85</v>
      </c>
      <c r="V232" s="6">
        <f>IF(ISERROR(VLOOKUP($S$232,'TAR FIN'!$A$1:$O$86,15,0)),0,VLOOKUP($S$232,'TAR FIN'!$A$1:$O$86,15,0))</f>
        <v>0</v>
      </c>
      <c r="W232" s="6">
        <f>IF(ISERROR(VLOOKUP($T$232,'TAR FIN'!$A$1:$O$86,15,0)),0,VLOOKUP($T$232,'TAR FIN'!$A$1:$O$86,15,0))</f>
        <v>306.26</v>
      </c>
      <c r="X232" s="6">
        <f>IF(ISERROR(VLOOKUP($U$232,'TAR FIN'!$A$1:$O$86,15,0)),0,VLOOKUP($U$232,'TAR FIN'!$A$1:$O$86,15,0))</f>
        <v>72.53</v>
      </c>
      <c r="Y232" s="6"/>
      <c r="Z232" s="6">
        <f ca="1">('TUSD BE'!$AM$50+'TUSD BF'!$AM$50+'TUSD CVA'!$AM$50)*1</f>
        <v>368.54635989970006</v>
      </c>
      <c r="AA232" s="6">
        <f>('TE BE'!$AB$41+'TE BF'!$AB$41+'TE CVA'!$AB$41)*1</f>
        <v>64.035662675283376</v>
      </c>
      <c r="AB232" s="6">
        <f>$K$232*$V$232</f>
        <v>0</v>
      </c>
      <c r="AC232" s="6">
        <f>$M$232*$W$232</f>
        <v>12786.355</v>
      </c>
      <c r="AD232" s="6">
        <f>$O$232*$X$232</f>
        <v>3028.1275000000001</v>
      </c>
      <c r="AE232" s="6">
        <f>$K$232*$Y$232</f>
        <v>0</v>
      </c>
      <c r="AF232" s="6">
        <f ca="1">$M$232*$Z$232</f>
        <v>15386.810525812478</v>
      </c>
      <c r="AG232" s="6">
        <f>$O$232*$AA$232</f>
        <v>2673.4889166930811</v>
      </c>
    </row>
    <row r="233" spans="1:33" ht="11.25" customHeight="1" x14ac:dyDescent="0.25">
      <c r="A233" s="4" t="s">
        <v>21</v>
      </c>
      <c r="B233" s="4" t="s">
        <v>44</v>
      </c>
      <c r="C233" s="4" t="s">
        <v>23</v>
      </c>
      <c r="D233" s="4" t="s">
        <v>45</v>
      </c>
      <c r="E233" s="4" t="s">
        <v>46</v>
      </c>
      <c r="F233" s="4" t="s">
        <v>25</v>
      </c>
      <c r="G233" s="4" t="s">
        <v>25</v>
      </c>
      <c r="H233" s="4" t="s">
        <v>25</v>
      </c>
      <c r="I233" s="5">
        <v>44470</v>
      </c>
      <c r="J233" s="6">
        <v>0</v>
      </c>
      <c r="K233" s="6">
        <v>0</v>
      </c>
      <c r="L233" s="6">
        <v>40.631</v>
      </c>
      <c r="M233" s="6">
        <v>40.631</v>
      </c>
      <c r="N233" s="6">
        <v>40.631</v>
      </c>
      <c r="O233" s="6">
        <v>40.631</v>
      </c>
      <c r="P233" s="6">
        <v>36</v>
      </c>
      <c r="Q233" s="4" t="s">
        <v>26</v>
      </c>
      <c r="R233" s="4">
        <v>0</v>
      </c>
      <c r="S233" s="6">
        <v>0</v>
      </c>
      <c r="T233" s="6">
        <v>34</v>
      </c>
      <c r="U233" s="6">
        <v>85</v>
      </c>
      <c r="V233" s="6">
        <f>IF(ISERROR(VLOOKUP($S$233,'TAR FIN'!$A$1:$O$86,15,0)),0,VLOOKUP($S$233,'TAR FIN'!$A$1:$O$86,15,0))</f>
        <v>0</v>
      </c>
      <c r="W233" s="6">
        <f>IF(ISERROR(VLOOKUP($T$233,'TAR FIN'!$A$1:$O$86,15,0)),0,VLOOKUP($T$233,'TAR FIN'!$A$1:$O$86,15,0))</f>
        <v>306.26</v>
      </c>
      <c r="X233" s="6">
        <f>IF(ISERROR(VLOOKUP($U$233,'TAR FIN'!$A$1:$O$86,15,0)),0,VLOOKUP($U$233,'TAR FIN'!$A$1:$O$86,15,0))</f>
        <v>72.53</v>
      </c>
      <c r="Y233" s="6"/>
      <c r="Z233" s="6">
        <f ca="1">('TUSD BE'!$AM$50+'TUSD BF'!$AM$50+'TUSD CVA'!$AM$50)*1</f>
        <v>368.54635989970006</v>
      </c>
      <c r="AA233" s="6">
        <f>('TE BE'!$AB$41+'TE BF'!$AB$41+'TE CVA'!$AB$41)*1</f>
        <v>64.035662675283376</v>
      </c>
      <c r="AB233" s="6">
        <f>$K$233*$V$233</f>
        <v>0</v>
      </c>
      <c r="AC233" s="6">
        <f>$M$233*$W$233</f>
        <v>12443.65006</v>
      </c>
      <c r="AD233" s="6">
        <f>$O$233*$X$233</f>
        <v>2946.9664299999999</v>
      </c>
      <c r="AE233" s="6">
        <f>$K$233*$Y$233</f>
        <v>0</v>
      </c>
      <c r="AF233" s="6">
        <f ca="1">$M$233*$Z$233</f>
        <v>14974.407149084713</v>
      </c>
      <c r="AG233" s="6">
        <f>$O$233*$AA$233</f>
        <v>2601.8330101594388</v>
      </c>
    </row>
    <row r="234" spans="1:33" ht="11.25" customHeight="1" x14ac:dyDescent="0.25">
      <c r="A234" s="4" t="s">
        <v>21</v>
      </c>
      <c r="B234" s="4" t="s">
        <v>44</v>
      </c>
      <c r="C234" s="4" t="s">
        <v>23</v>
      </c>
      <c r="D234" s="4" t="s">
        <v>45</v>
      </c>
      <c r="E234" s="4" t="s">
        <v>46</v>
      </c>
      <c r="F234" s="4" t="s">
        <v>25</v>
      </c>
      <c r="G234" s="4" t="s">
        <v>25</v>
      </c>
      <c r="H234" s="4" t="s">
        <v>25</v>
      </c>
      <c r="I234" s="5">
        <v>44501</v>
      </c>
      <c r="J234" s="6">
        <v>0</v>
      </c>
      <c r="K234" s="6">
        <v>0</v>
      </c>
      <c r="L234" s="6">
        <v>41.988</v>
      </c>
      <c r="M234" s="6">
        <v>41.988</v>
      </c>
      <c r="N234" s="6">
        <v>41.988</v>
      </c>
      <c r="O234" s="6">
        <v>41.988</v>
      </c>
      <c r="P234" s="6">
        <v>36</v>
      </c>
      <c r="Q234" s="4" t="s">
        <v>26</v>
      </c>
      <c r="R234" s="4">
        <v>0</v>
      </c>
      <c r="S234" s="6">
        <v>0</v>
      </c>
      <c r="T234" s="6">
        <v>34</v>
      </c>
      <c r="U234" s="6">
        <v>85</v>
      </c>
      <c r="V234" s="6">
        <f>IF(ISERROR(VLOOKUP($S$234,'TAR FIN'!$A$1:$O$86,15,0)),0,VLOOKUP($S$234,'TAR FIN'!$A$1:$O$86,15,0))</f>
        <v>0</v>
      </c>
      <c r="W234" s="6">
        <f>IF(ISERROR(VLOOKUP($T$234,'TAR FIN'!$A$1:$O$86,15,0)),0,VLOOKUP($T$234,'TAR FIN'!$A$1:$O$86,15,0))</f>
        <v>306.26</v>
      </c>
      <c r="X234" s="6">
        <f>IF(ISERROR(VLOOKUP($U$234,'TAR FIN'!$A$1:$O$86,15,0)),0,VLOOKUP($U$234,'TAR FIN'!$A$1:$O$86,15,0))</f>
        <v>72.53</v>
      </c>
      <c r="Y234" s="6"/>
      <c r="Z234" s="6">
        <f ca="1">('TUSD BE'!$AM$50+'TUSD BF'!$AM$50+'TUSD CVA'!$AM$50)*1</f>
        <v>368.54635989970006</v>
      </c>
      <c r="AA234" s="6">
        <f>('TE BE'!$AB$41+'TE BF'!$AB$41+'TE CVA'!$AB$41)*1</f>
        <v>64.035662675283376</v>
      </c>
      <c r="AB234" s="6">
        <f>$K$234*$V$234</f>
        <v>0</v>
      </c>
      <c r="AC234" s="6">
        <f>$M$234*$W$234</f>
        <v>12859.24488</v>
      </c>
      <c r="AD234" s="6">
        <f>$O$234*$X$234</f>
        <v>3045.3896399999999</v>
      </c>
      <c r="AE234" s="6">
        <f>$K$234*$Y$234</f>
        <v>0</v>
      </c>
      <c r="AF234" s="6">
        <f ca="1">$M$234*$Z$234</f>
        <v>15474.524559468606</v>
      </c>
      <c r="AG234" s="6">
        <f>$O$234*$AA$234</f>
        <v>2688.7294044097985</v>
      </c>
    </row>
    <row r="235" spans="1:33" ht="11.25" customHeight="1" x14ac:dyDescent="0.25">
      <c r="A235" s="4" t="s">
        <v>21</v>
      </c>
      <c r="B235" s="4" t="s">
        <v>44</v>
      </c>
      <c r="C235" s="4" t="s">
        <v>23</v>
      </c>
      <c r="D235" s="4" t="s">
        <v>45</v>
      </c>
      <c r="E235" s="4" t="s">
        <v>46</v>
      </c>
      <c r="F235" s="4" t="s">
        <v>25</v>
      </c>
      <c r="G235" s="4" t="s">
        <v>25</v>
      </c>
      <c r="H235" s="4" t="s">
        <v>25</v>
      </c>
      <c r="I235" s="5">
        <v>44531</v>
      </c>
      <c r="J235" s="6">
        <v>0</v>
      </c>
      <c r="K235" s="6">
        <v>0</v>
      </c>
      <c r="L235" s="6">
        <v>40.347000000000001</v>
      </c>
      <c r="M235" s="6">
        <v>40.347000000000001</v>
      </c>
      <c r="N235" s="6">
        <v>40.347000000000001</v>
      </c>
      <c r="O235" s="6">
        <v>40.347000000000001</v>
      </c>
      <c r="P235" s="6">
        <v>36</v>
      </c>
      <c r="Q235" s="4" t="s">
        <v>26</v>
      </c>
      <c r="R235" s="4">
        <v>0</v>
      </c>
      <c r="S235" s="6">
        <v>0</v>
      </c>
      <c r="T235" s="6">
        <v>34</v>
      </c>
      <c r="U235" s="6">
        <v>85</v>
      </c>
      <c r="V235" s="6">
        <f>IF(ISERROR(VLOOKUP($S$235,'TAR FIN'!$A$1:$O$86,15,0)),0,VLOOKUP($S$235,'TAR FIN'!$A$1:$O$86,15,0))</f>
        <v>0</v>
      </c>
      <c r="W235" s="6">
        <f>IF(ISERROR(VLOOKUP($T$235,'TAR FIN'!$A$1:$O$86,15,0)),0,VLOOKUP($T$235,'TAR FIN'!$A$1:$O$86,15,0))</f>
        <v>306.26</v>
      </c>
      <c r="X235" s="6">
        <f>IF(ISERROR(VLOOKUP($U$235,'TAR FIN'!$A$1:$O$86,15,0)),0,VLOOKUP($U$235,'TAR FIN'!$A$1:$O$86,15,0))</f>
        <v>72.53</v>
      </c>
      <c r="Y235" s="6"/>
      <c r="Z235" s="6">
        <f ca="1">('TUSD BE'!$AM$50+'TUSD BF'!$AM$50+'TUSD CVA'!$AM$50)*1</f>
        <v>368.54635989970006</v>
      </c>
      <c r="AA235" s="6">
        <f>('TE BE'!$AB$41+'TE BF'!$AB$41+'TE CVA'!$AB$41)*1</f>
        <v>64.035662675283376</v>
      </c>
      <c r="AB235" s="6">
        <f>$K$235*$V$235</f>
        <v>0</v>
      </c>
      <c r="AC235" s="6">
        <f>$M$235*$W$235</f>
        <v>12356.67222</v>
      </c>
      <c r="AD235" s="6">
        <f>$O$235*$X$235</f>
        <v>2926.3679099999999</v>
      </c>
      <c r="AE235" s="6">
        <f>$K$235*$Y$235</f>
        <v>0</v>
      </c>
      <c r="AF235" s="6">
        <f ca="1">$M$235*$Z$235</f>
        <v>14869.7399828732</v>
      </c>
      <c r="AG235" s="6">
        <f>$O$235*$AA$235</f>
        <v>2583.6468819596585</v>
      </c>
    </row>
    <row r="236" spans="1:33" ht="11.25" customHeight="1" x14ac:dyDescent="0.25">
      <c r="A236" s="4" t="s">
        <v>21</v>
      </c>
      <c r="B236" s="4" t="s">
        <v>44</v>
      </c>
      <c r="C236" s="4" t="s">
        <v>23</v>
      </c>
      <c r="D236" s="4" t="s">
        <v>45</v>
      </c>
      <c r="E236" s="4" t="s">
        <v>46</v>
      </c>
      <c r="F236" s="4" t="s">
        <v>25</v>
      </c>
      <c r="G236" s="4" t="s">
        <v>25</v>
      </c>
      <c r="H236" s="4" t="s">
        <v>25</v>
      </c>
      <c r="I236" s="5">
        <v>44562</v>
      </c>
      <c r="J236" s="6">
        <v>0</v>
      </c>
      <c r="K236" s="6">
        <v>0</v>
      </c>
      <c r="L236" s="6">
        <v>41.988</v>
      </c>
      <c r="M236" s="6">
        <v>41.988</v>
      </c>
      <c r="N236" s="6">
        <v>41.988</v>
      </c>
      <c r="O236" s="6">
        <v>41.988</v>
      </c>
      <c r="P236" s="6">
        <v>36</v>
      </c>
      <c r="Q236" s="4" t="s">
        <v>26</v>
      </c>
      <c r="R236" s="4">
        <v>0</v>
      </c>
      <c r="S236" s="6">
        <v>0</v>
      </c>
      <c r="T236" s="6">
        <v>34</v>
      </c>
      <c r="U236" s="6">
        <v>85</v>
      </c>
      <c r="V236" s="6">
        <f>IF(ISERROR(VLOOKUP($S$236,'TAR FIN'!$A$1:$O$86,15,0)),0,VLOOKUP($S$236,'TAR FIN'!$A$1:$O$86,15,0))</f>
        <v>0</v>
      </c>
      <c r="W236" s="6">
        <f>IF(ISERROR(VLOOKUP($T$236,'TAR FIN'!$A$1:$O$86,15,0)),0,VLOOKUP($T$236,'TAR FIN'!$A$1:$O$86,15,0))</f>
        <v>306.26</v>
      </c>
      <c r="X236" s="6">
        <f>IF(ISERROR(VLOOKUP($U$236,'TAR FIN'!$A$1:$O$86,15,0)),0,VLOOKUP($U$236,'TAR FIN'!$A$1:$O$86,15,0))</f>
        <v>72.53</v>
      </c>
      <c r="Y236" s="6"/>
      <c r="Z236" s="6">
        <f ca="1">('TUSD BE'!$AM$50+'TUSD BF'!$AM$50+'TUSD CVA'!$AM$50)*1</f>
        <v>368.54635989970006</v>
      </c>
      <c r="AA236" s="6">
        <f>('TE BE'!$AB$41+'TE BF'!$AB$41+'TE CVA'!$AB$41)*1</f>
        <v>64.035662675283376</v>
      </c>
      <c r="AB236" s="6">
        <f>$K$236*$V$236</f>
        <v>0</v>
      </c>
      <c r="AC236" s="6">
        <f>$M$236*$W$236</f>
        <v>12859.24488</v>
      </c>
      <c r="AD236" s="6">
        <f>$O$236*$X$236</f>
        <v>3045.3896399999999</v>
      </c>
      <c r="AE236" s="6">
        <f>$K$236*$Y$236</f>
        <v>0</v>
      </c>
      <c r="AF236" s="6">
        <f ca="1">$M$236*$Z$236</f>
        <v>15474.524559468606</v>
      </c>
      <c r="AG236" s="6">
        <f>$O$236*$AA$236</f>
        <v>2688.7294044097985</v>
      </c>
    </row>
    <row r="237" spans="1:33" ht="11.25" customHeight="1" x14ac:dyDescent="0.25">
      <c r="A237" s="4" t="s">
        <v>21</v>
      </c>
      <c r="B237" s="4" t="s">
        <v>44</v>
      </c>
      <c r="C237" s="4" t="s">
        <v>23</v>
      </c>
      <c r="D237" s="4" t="s">
        <v>45</v>
      </c>
      <c r="E237" s="4" t="s">
        <v>46</v>
      </c>
      <c r="F237" s="4" t="s">
        <v>25</v>
      </c>
      <c r="G237" s="4" t="s">
        <v>25</v>
      </c>
      <c r="H237" s="4" t="s">
        <v>25</v>
      </c>
      <c r="I237" s="5">
        <v>44593</v>
      </c>
      <c r="J237" s="6">
        <v>0</v>
      </c>
      <c r="K237" s="6">
        <v>0</v>
      </c>
      <c r="L237" s="6">
        <v>41.677</v>
      </c>
      <c r="M237" s="6">
        <v>41.677</v>
      </c>
      <c r="N237" s="6">
        <v>41.677</v>
      </c>
      <c r="O237" s="6">
        <v>41.677</v>
      </c>
      <c r="P237" s="6">
        <v>36</v>
      </c>
      <c r="Q237" s="4" t="s">
        <v>26</v>
      </c>
      <c r="R237" s="4">
        <v>0</v>
      </c>
      <c r="S237" s="6">
        <v>0</v>
      </c>
      <c r="T237" s="6">
        <v>34</v>
      </c>
      <c r="U237" s="6">
        <v>85</v>
      </c>
      <c r="V237" s="6">
        <f>IF(ISERROR(VLOOKUP($S$237,'TAR FIN'!$A$1:$O$86,15,0)),0,VLOOKUP($S$237,'TAR FIN'!$A$1:$O$86,15,0))</f>
        <v>0</v>
      </c>
      <c r="W237" s="6">
        <f>IF(ISERROR(VLOOKUP($T$237,'TAR FIN'!$A$1:$O$86,15,0)),0,VLOOKUP($T$237,'TAR FIN'!$A$1:$O$86,15,0))</f>
        <v>306.26</v>
      </c>
      <c r="X237" s="6">
        <f>IF(ISERROR(VLOOKUP($U$237,'TAR FIN'!$A$1:$O$86,15,0)),0,VLOOKUP($U$237,'TAR FIN'!$A$1:$O$86,15,0))</f>
        <v>72.53</v>
      </c>
      <c r="Y237" s="6"/>
      <c r="Z237" s="6">
        <f ca="1">('TUSD BE'!$AM$50+'TUSD BF'!$AM$50+'TUSD CVA'!$AM$50)*1</f>
        <v>368.54635989970006</v>
      </c>
      <c r="AA237" s="6">
        <f>('TE BE'!$AB$41+'TE BF'!$AB$41+'TE CVA'!$AB$41)*1</f>
        <v>64.035662675283376</v>
      </c>
      <c r="AB237" s="6">
        <f>$K$237*$V$237</f>
        <v>0</v>
      </c>
      <c r="AC237" s="6">
        <f>$M$237*$W$237</f>
        <v>12763.998019999999</v>
      </c>
      <c r="AD237" s="6">
        <f>$O$237*$X$237</f>
        <v>3022.8328099999999</v>
      </c>
      <c r="AE237" s="6">
        <f>$K$237*$Y$237</f>
        <v>0</v>
      </c>
      <c r="AF237" s="6">
        <f ca="1">$M$237*$Z$237</f>
        <v>15359.906641539799</v>
      </c>
      <c r="AG237" s="6">
        <f>$O$237*$AA$237</f>
        <v>2668.814313317785</v>
      </c>
    </row>
    <row r="238" spans="1:33" ht="11.25" customHeight="1" x14ac:dyDescent="0.25">
      <c r="A238" s="4" t="s">
        <v>21</v>
      </c>
      <c r="B238" s="4" t="s">
        <v>44</v>
      </c>
      <c r="C238" s="4" t="s">
        <v>23</v>
      </c>
      <c r="D238" s="4" t="s">
        <v>45</v>
      </c>
      <c r="E238" s="4" t="s">
        <v>46</v>
      </c>
      <c r="F238" s="4" t="s">
        <v>25</v>
      </c>
      <c r="G238" s="4" t="s">
        <v>25</v>
      </c>
      <c r="H238" s="4" t="s">
        <v>25</v>
      </c>
      <c r="I238" s="5">
        <v>44621</v>
      </c>
      <c r="J238" s="6">
        <v>0</v>
      </c>
      <c r="K238" s="6">
        <v>0</v>
      </c>
      <c r="L238" s="6">
        <v>37.658000000000001</v>
      </c>
      <c r="M238" s="6">
        <v>37.658000000000001</v>
      </c>
      <c r="N238" s="6">
        <v>37.658000000000001</v>
      </c>
      <c r="O238" s="6">
        <v>37.658000000000001</v>
      </c>
      <c r="P238" s="6">
        <v>36</v>
      </c>
      <c r="Q238" s="4" t="s">
        <v>26</v>
      </c>
      <c r="R238" s="4">
        <v>0</v>
      </c>
      <c r="S238" s="6">
        <v>0</v>
      </c>
      <c r="T238" s="6">
        <v>34</v>
      </c>
      <c r="U238" s="6">
        <v>85</v>
      </c>
      <c r="V238" s="6">
        <f>IF(ISERROR(VLOOKUP($S$238,'TAR FIN'!$A$1:$O$86,15,0)),0,VLOOKUP($S$238,'TAR FIN'!$A$1:$O$86,15,0))</f>
        <v>0</v>
      </c>
      <c r="W238" s="6">
        <f>IF(ISERROR(VLOOKUP($T$238,'TAR FIN'!$A$1:$O$86,15,0)),0,VLOOKUP($T$238,'TAR FIN'!$A$1:$O$86,15,0))</f>
        <v>306.26</v>
      </c>
      <c r="X238" s="6">
        <f>IF(ISERROR(VLOOKUP($U$238,'TAR FIN'!$A$1:$O$86,15,0)),0,VLOOKUP($U$238,'TAR FIN'!$A$1:$O$86,15,0))</f>
        <v>72.53</v>
      </c>
      <c r="Y238" s="6"/>
      <c r="Z238" s="6">
        <f ca="1">('TUSD BE'!$AM$50+'TUSD BF'!$AM$50+'TUSD CVA'!$AM$50)*1</f>
        <v>368.54635989970006</v>
      </c>
      <c r="AA238" s="6">
        <f>('TE BE'!$AB$41+'TE BF'!$AB$41+'TE CVA'!$AB$41)*1</f>
        <v>64.035662675283376</v>
      </c>
      <c r="AB238" s="6">
        <f>$K$238*$V$238</f>
        <v>0</v>
      </c>
      <c r="AC238" s="6">
        <f>$M$238*$W$238</f>
        <v>11533.139080000001</v>
      </c>
      <c r="AD238" s="6">
        <f>$O$238*$X$238</f>
        <v>2731.3347400000002</v>
      </c>
      <c r="AE238" s="6">
        <f>$K$238*$Y$238</f>
        <v>0</v>
      </c>
      <c r="AF238" s="6">
        <f ca="1">$M$238*$Z$238</f>
        <v>13878.718821102906</v>
      </c>
      <c r="AG238" s="6">
        <f>$O$238*$AA$238</f>
        <v>2411.4549850258213</v>
      </c>
    </row>
    <row r="239" spans="1:33" ht="11.25" customHeight="1" x14ac:dyDescent="0.25">
      <c r="A239" s="4" t="s">
        <v>21</v>
      </c>
      <c r="B239" s="4" t="s">
        <v>44</v>
      </c>
      <c r="C239" s="4" t="s">
        <v>23</v>
      </c>
      <c r="D239" s="4" t="s">
        <v>45</v>
      </c>
      <c r="E239" s="4" t="s">
        <v>46</v>
      </c>
      <c r="F239" s="4" t="s">
        <v>25</v>
      </c>
      <c r="G239" s="4" t="s">
        <v>25</v>
      </c>
      <c r="H239" s="4" t="s">
        <v>25</v>
      </c>
      <c r="I239" s="5">
        <v>44652</v>
      </c>
      <c r="J239" s="6">
        <v>0</v>
      </c>
      <c r="K239" s="6">
        <v>0</v>
      </c>
      <c r="L239" s="6">
        <v>41.695</v>
      </c>
      <c r="M239" s="6">
        <v>41.695</v>
      </c>
      <c r="N239" s="6">
        <v>41.695</v>
      </c>
      <c r="O239" s="6">
        <v>41.695</v>
      </c>
      <c r="P239" s="6">
        <v>36</v>
      </c>
      <c r="Q239" s="4" t="s">
        <v>26</v>
      </c>
      <c r="R239" s="4">
        <v>0</v>
      </c>
      <c r="S239" s="6">
        <v>0</v>
      </c>
      <c r="T239" s="6">
        <v>34</v>
      </c>
      <c r="U239" s="6">
        <v>85</v>
      </c>
      <c r="V239" s="6">
        <f>IF(ISERROR(VLOOKUP($S$239,'TAR FIN'!$A$1:$O$86,15,0)),0,VLOOKUP($S$239,'TAR FIN'!$A$1:$O$86,15,0))</f>
        <v>0</v>
      </c>
      <c r="W239" s="6">
        <f>IF(ISERROR(VLOOKUP($T$239,'TAR FIN'!$A$1:$O$86,15,0)),0,VLOOKUP($T$239,'TAR FIN'!$A$1:$O$86,15,0))</f>
        <v>306.26</v>
      </c>
      <c r="X239" s="6">
        <f>IF(ISERROR(VLOOKUP($U$239,'TAR FIN'!$A$1:$O$86,15,0)),0,VLOOKUP($U$239,'TAR FIN'!$A$1:$O$86,15,0))</f>
        <v>72.53</v>
      </c>
      <c r="Y239" s="6"/>
      <c r="Z239" s="6">
        <f ca="1">('TUSD BE'!$AM$50+'TUSD BF'!$AM$50+'TUSD CVA'!$AM$50)*1</f>
        <v>368.54635989970006</v>
      </c>
      <c r="AA239" s="6">
        <f>('TE BE'!$AB$41+'TE BF'!$AB$41+'TE CVA'!$AB$41)*1</f>
        <v>64.035662675283376</v>
      </c>
      <c r="AB239" s="6">
        <f>$K$239*$V$239</f>
        <v>0</v>
      </c>
      <c r="AC239" s="6">
        <f>$M$239*$W$239</f>
        <v>12769.510699999999</v>
      </c>
      <c r="AD239" s="6">
        <f>$O$239*$X$239</f>
        <v>3024.1383500000002</v>
      </c>
      <c r="AE239" s="6">
        <f>$K$239*$Y$239</f>
        <v>0</v>
      </c>
      <c r="AF239" s="6">
        <f ca="1">$M$239*$Z$239</f>
        <v>15366.540476017994</v>
      </c>
      <c r="AG239" s="6">
        <f>$O$239*$AA$239</f>
        <v>2669.9669552459404</v>
      </c>
    </row>
    <row r="240" spans="1:33" ht="11.25" customHeight="1" x14ac:dyDescent="0.25">
      <c r="A240" s="4" t="s">
        <v>21</v>
      </c>
      <c r="B240" s="4" t="s">
        <v>44</v>
      </c>
      <c r="C240" s="4" t="s">
        <v>23</v>
      </c>
      <c r="D240" s="4" t="s">
        <v>45</v>
      </c>
      <c r="E240" s="4" t="s">
        <v>46</v>
      </c>
      <c r="F240" s="4" t="s">
        <v>25</v>
      </c>
      <c r="G240" s="4" t="s">
        <v>25</v>
      </c>
      <c r="H240" s="4" t="s">
        <v>25</v>
      </c>
      <c r="I240" s="5">
        <v>44682</v>
      </c>
      <c r="J240" s="6">
        <v>0</v>
      </c>
      <c r="K240" s="6">
        <v>0</v>
      </c>
      <c r="L240" s="6">
        <v>40.347999999999999</v>
      </c>
      <c r="M240" s="6">
        <v>40.347999999999999</v>
      </c>
      <c r="N240" s="6">
        <v>40.347999999999999</v>
      </c>
      <c r="O240" s="6">
        <v>40.347999999999999</v>
      </c>
      <c r="P240" s="6">
        <v>36</v>
      </c>
      <c r="Q240" s="4" t="s">
        <v>26</v>
      </c>
      <c r="R240" s="4">
        <v>0</v>
      </c>
      <c r="S240" s="6">
        <v>0</v>
      </c>
      <c r="T240" s="6">
        <v>34</v>
      </c>
      <c r="U240" s="6">
        <v>85</v>
      </c>
      <c r="V240" s="6">
        <f>IF(ISERROR(VLOOKUP($S$240,'TAR FIN'!$A$1:$O$86,15,0)),0,VLOOKUP($S$240,'TAR FIN'!$A$1:$O$86,15,0))</f>
        <v>0</v>
      </c>
      <c r="W240" s="6">
        <f>IF(ISERROR(VLOOKUP($T$240,'TAR FIN'!$A$1:$O$86,15,0)),0,VLOOKUP($T$240,'TAR FIN'!$A$1:$O$86,15,0))</f>
        <v>306.26</v>
      </c>
      <c r="X240" s="6">
        <f>IF(ISERROR(VLOOKUP($U$240,'TAR FIN'!$A$1:$O$86,15,0)),0,VLOOKUP($U$240,'TAR FIN'!$A$1:$O$86,15,0))</f>
        <v>72.53</v>
      </c>
      <c r="Y240" s="6"/>
      <c r="Z240" s="6">
        <f ca="1">('TUSD BE'!$AM$50+'TUSD BF'!$AM$50+'TUSD CVA'!$AM$50)*1</f>
        <v>368.54635989970006</v>
      </c>
      <c r="AA240" s="6">
        <f>('TE BE'!$AB$41+'TE BF'!$AB$41+'TE CVA'!$AB$41)*1</f>
        <v>64.035662675283376</v>
      </c>
      <c r="AB240" s="6">
        <f>$K$240*$V$240</f>
        <v>0</v>
      </c>
      <c r="AC240" s="6">
        <f>$M$240*$W$240</f>
        <v>12356.97848</v>
      </c>
      <c r="AD240" s="6">
        <f>$O$240*$X$240</f>
        <v>2926.4404399999999</v>
      </c>
      <c r="AE240" s="6">
        <f>$K$240*$Y$240</f>
        <v>0</v>
      </c>
      <c r="AF240" s="6">
        <f ca="1">$M$240*$Z$240</f>
        <v>14870.108529233097</v>
      </c>
      <c r="AG240" s="6">
        <f>$O$240*$AA$240</f>
        <v>2583.7109176223335</v>
      </c>
    </row>
    <row r="241" spans="1:33" ht="11.25" customHeight="1" x14ac:dyDescent="0.25">
      <c r="A241" s="4" t="s">
        <v>21</v>
      </c>
      <c r="B241" s="4" t="s">
        <v>44</v>
      </c>
      <c r="C241" s="4" t="s">
        <v>23</v>
      </c>
      <c r="D241" s="4" t="s">
        <v>45</v>
      </c>
      <c r="E241" s="4" t="s">
        <v>46</v>
      </c>
      <c r="F241" s="4" t="s">
        <v>25</v>
      </c>
      <c r="G241" s="4" t="s">
        <v>25</v>
      </c>
      <c r="H241" s="4" t="s">
        <v>25</v>
      </c>
      <c r="I241" s="5">
        <v>44713</v>
      </c>
      <c r="J241" s="6">
        <v>0</v>
      </c>
      <c r="K241" s="6">
        <v>0</v>
      </c>
      <c r="L241" s="6">
        <v>41.695</v>
      </c>
      <c r="M241" s="6">
        <v>41.695</v>
      </c>
      <c r="N241" s="6">
        <v>41.695</v>
      </c>
      <c r="O241" s="6">
        <v>41.695</v>
      </c>
      <c r="P241" s="6">
        <v>36</v>
      </c>
      <c r="Q241" s="4" t="s">
        <v>26</v>
      </c>
      <c r="R241" s="4">
        <v>0</v>
      </c>
      <c r="S241" s="6">
        <v>0</v>
      </c>
      <c r="T241" s="6">
        <v>34</v>
      </c>
      <c r="U241" s="6">
        <v>85</v>
      </c>
      <c r="V241" s="6">
        <f>IF(ISERROR(VLOOKUP($S$241,'TAR FIN'!$A$1:$O$86,15,0)),0,VLOOKUP($S$241,'TAR FIN'!$A$1:$O$86,15,0))</f>
        <v>0</v>
      </c>
      <c r="W241" s="6">
        <f>IF(ISERROR(VLOOKUP($T$241,'TAR FIN'!$A$1:$O$86,15,0)),0,VLOOKUP($T$241,'TAR FIN'!$A$1:$O$86,15,0))</f>
        <v>306.26</v>
      </c>
      <c r="X241" s="6">
        <f>IF(ISERROR(VLOOKUP($U$241,'TAR FIN'!$A$1:$O$86,15,0)),0,VLOOKUP($U$241,'TAR FIN'!$A$1:$O$86,15,0))</f>
        <v>72.53</v>
      </c>
      <c r="Y241" s="6"/>
      <c r="Z241" s="6">
        <f ca="1">('TUSD BE'!$AM$50+'TUSD BF'!$AM$50+'TUSD CVA'!$AM$50)*1</f>
        <v>368.54635989970006</v>
      </c>
      <c r="AA241" s="6">
        <f>('TE BE'!$AB$41+'TE BF'!$AB$41+'TE CVA'!$AB$41)*1</f>
        <v>64.035662675283376</v>
      </c>
      <c r="AB241" s="6">
        <f>$K$241*$V$241</f>
        <v>0</v>
      </c>
      <c r="AC241" s="6">
        <f>$M$241*$W$241</f>
        <v>12769.510699999999</v>
      </c>
      <c r="AD241" s="6">
        <f>$O$241*$X$241</f>
        <v>3024.1383500000002</v>
      </c>
      <c r="AE241" s="6">
        <f>$K$241*$Y$241</f>
        <v>0</v>
      </c>
      <c r="AF241" s="6">
        <f ca="1">$M$241*$Z$241</f>
        <v>15366.540476017994</v>
      </c>
      <c r="AG241" s="6">
        <f>$O$241*$AA$241</f>
        <v>2669.9669552459404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F9A1-5087-4F94-9A88-CE182C9B6455}">
  <dimension ref="A1:AJ242"/>
  <sheetViews>
    <sheetView showGridLines="0" topLeftCell="W1" workbookViewId="0">
      <selection activeCell="AG21" sqref="AG21"/>
    </sheetView>
  </sheetViews>
  <sheetFormatPr defaultRowHeight="11.25" customHeight="1" x14ac:dyDescent="0.25"/>
  <cols>
    <col min="1" max="1" width="19.140625" style="4" bestFit="1" customWidth="1"/>
    <col min="2" max="2" width="13.28515625" style="4" bestFit="1" customWidth="1"/>
    <col min="3" max="3" width="14.5703125" style="4" bestFit="1" customWidth="1"/>
    <col min="4" max="4" width="11.5703125" style="4" bestFit="1" customWidth="1"/>
    <col min="5" max="5" width="25.140625" style="4" bestFit="1" customWidth="1"/>
    <col min="6" max="6" width="11.4257812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19.140625" style="4" bestFit="1" customWidth="1"/>
    <col min="29" max="29" width="20.5703125" style="4" bestFit="1" customWidth="1"/>
    <col min="30" max="30" width="19" style="4" bestFit="1" customWidth="1"/>
    <col min="31" max="31" width="20.42578125" style="4" bestFit="1" customWidth="1"/>
    <col min="32" max="32" width="32.140625" style="4" bestFit="1" customWidth="1"/>
    <col min="33" max="33" width="9.140625" style="4"/>
    <col min="34" max="34" width="32.140625" style="4" bestFit="1" customWidth="1"/>
    <col min="35" max="36" width="8.7109375" style="4" bestFit="1" customWidth="1"/>
    <col min="37" max="16384" width="9.140625" style="4"/>
  </cols>
  <sheetData>
    <row r="1" spans="1:36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1" t="s">
        <v>553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596</v>
      </c>
      <c r="AH1" s="40" t="s">
        <v>596</v>
      </c>
      <c r="AI1" s="40" t="s">
        <v>600</v>
      </c>
      <c r="AJ1" s="40" t="s">
        <v>601</v>
      </c>
    </row>
    <row r="2" spans="1:36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44378</v>
      </c>
      <c r="J2" s="6">
        <v>0</v>
      </c>
      <c r="K2" s="6">
        <v>0</v>
      </c>
      <c r="L2" s="6">
        <v>990.41099999999994</v>
      </c>
      <c r="M2" s="6">
        <v>990.41099999999994</v>
      </c>
      <c r="N2" s="6">
        <v>990.41099999999994</v>
      </c>
      <c r="O2" s="6">
        <v>990.41099999999994</v>
      </c>
      <c r="P2" s="6">
        <v>6042</v>
      </c>
      <c r="Q2" s="4" t="s">
        <v>26</v>
      </c>
      <c r="R2" s="4">
        <v>0</v>
      </c>
      <c r="S2" s="4">
        <v>0</v>
      </c>
      <c r="T2" s="4">
        <v>24</v>
      </c>
      <c r="U2" s="4">
        <v>26</v>
      </c>
      <c r="V2" s="6">
        <f>IF(ISERROR(VLOOKUP($S$2,'TAR FIN'!$A$1:$O$86,15,0)),0,VLOOKUP($S$2,'TAR FIN'!$A$1:$O$86,15,0))</f>
        <v>0</v>
      </c>
      <c r="W2" s="6">
        <f>IF(ISERROR(VLOOKUP($T$2,'TAR FIN'!$A$1:$O$86,15,0)),0,VLOOKUP($T$2,'TAR FIN'!$A$1:$O$86,15,0))</f>
        <v>556.84</v>
      </c>
      <c r="X2" s="6">
        <f>IF(ISERROR(VLOOKUP($U$2,'TAR FIN'!$A$1:$O$86,15,0)),0,VLOOKUP($U$2,'TAR FIN'!$A$1:$O$86,15,0))</f>
        <v>131.87</v>
      </c>
      <c r="Y2" s="6"/>
      <c r="Z2" s="6">
        <f ca="1">('TUSD BE'!$AM$20+'TUSD BF'!$AM$20+'TUSD CVA'!$AM$20)*1</f>
        <v>670.0842907267272</v>
      </c>
      <c r="AA2" s="6">
        <f>('TE BE'!$AB$11+'TE BF'!$AB$11+'TE CVA'!$AB$11)*1</f>
        <v>116.42847759142431</v>
      </c>
      <c r="AB2" s="6">
        <f t="shared" ref="AB2:AB33" si="0">(J2-K2)*V2</f>
        <v>0</v>
      </c>
      <c r="AC2" s="6">
        <f>(L2-M2)*W2+(N2-O2)*X2</f>
        <v>0</v>
      </c>
      <c r="AD2" s="6">
        <f t="shared" ref="AD2:AD33" si="1">(J2-K2)*Y2</f>
        <v>0</v>
      </c>
      <c r="AE2" s="6">
        <f ca="1">(L2-M2)*Z2+(N2-O2)*AA2</f>
        <v>0</v>
      </c>
      <c r="AH2" s="41" t="s">
        <v>602</v>
      </c>
      <c r="AI2" s="42">
        <f t="shared" ref="AI2:AI9" si="2">SUMIF($AF$2:$AF$242,AH2,$AB$2:$AB$242)+SUMIF($AF$2:$AF$242,AH2,$AC$2:$AC$242)</f>
        <v>0</v>
      </c>
      <c r="AJ2" s="42">
        <f t="shared" ref="AJ2:AJ9" si="3">SUMIF($AF$2:$AF$242,AH2,$AD$2:$AD$242)+SUMIF($AF$2:$AF$242,AH2,$AE$2:$AE$242)</f>
        <v>0</v>
      </c>
    </row>
    <row r="3" spans="1:36" ht="11.25" customHeight="1" x14ac:dyDescent="0.25">
      <c r="A3" s="4" t="s">
        <v>21</v>
      </c>
      <c r="B3" s="4" t="s">
        <v>22</v>
      </c>
      <c r="C3" s="4" t="s">
        <v>23</v>
      </c>
      <c r="D3" s="4" t="s">
        <v>24</v>
      </c>
      <c r="E3" s="4" t="s">
        <v>29</v>
      </c>
      <c r="F3" s="4" t="s">
        <v>25</v>
      </c>
      <c r="G3" s="4" t="s">
        <v>25</v>
      </c>
      <c r="H3" s="4" t="s">
        <v>25</v>
      </c>
      <c r="I3" s="5">
        <v>44378</v>
      </c>
      <c r="J3" s="6">
        <v>0</v>
      </c>
      <c r="K3" s="6">
        <v>0</v>
      </c>
      <c r="L3" s="6">
        <v>3.75</v>
      </c>
      <c r="M3" s="6">
        <v>3.75</v>
      </c>
      <c r="N3" s="6">
        <v>3.75</v>
      </c>
      <c r="O3" s="6">
        <v>3.75</v>
      </c>
      <c r="P3" s="6">
        <v>3</v>
      </c>
      <c r="Q3" s="4" t="s">
        <v>26</v>
      </c>
      <c r="R3" s="4">
        <v>0</v>
      </c>
      <c r="S3" s="4">
        <v>0</v>
      </c>
      <c r="T3" s="4">
        <v>2</v>
      </c>
      <c r="U3" s="4">
        <v>72</v>
      </c>
      <c r="V3" s="6">
        <f>IF(ISERROR(VLOOKUP($S$3,'TAR FIN'!$A$1:$O$86,15,0)),0,VLOOKUP($S$3,'TAR FIN'!$A$1:$O$86,15,0))</f>
        <v>0</v>
      </c>
      <c r="W3" s="6">
        <f>IF(ISERROR(VLOOKUP($T$3,'TAR FIN'!$A$1:$O$86,15,0)),0,VLOOKUP($T$3,'TAR FIN'!$A$1:$O$86,15,0))</f>
        <v>170.76</v>
      </c>
      <c r="X3" s="6">
        <f>IF(ISERROR(VLOOKUP($U$3,'TAR FIN'!$A$1:$O$86,15,0)),0,VLOOKUP($U$3,'TAR FIN'!$A$1:$O$86,15,0))</f>
        <v>46.15</v>
      </c>
      <c r="Y3" s="6"/>
      <c r="Z3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3" s="6">
        <f>('TE BE'!$AB$12+'TE BF'!$AB$12+'TE CVA'!$AB$12)*(1-CUSTOS!$M$34)</f>
        <v>40.749967156998508</v>
      </c>
      <c r="AB3" s="6">
        <f t="shared" si="0"/>
        <v>0</v>
      </c>
      <c r="AC3" s="6">
        <f>(L3-M3)*(W3+X3)+($W$40+$X$40-$W$3-$X$3)*(L3)</f>
        <v>1510.6875</v>
      </c>
      <c r="AD3" s="6">
        <f t="shared" si="1"/>
        <v>0</v>
      </c>
      <c r="AE3" s="6">
        <f ca="1">(L3-M3)*(Z3+AA3)+($Z$40+$AA$40-$Z$3-$AA$3)*(L3)</f>
        <v>1657.1206487327784</v>
      </c>
      <c r="AF3" s="4" t="s">
        <v>597</v>
      </c>
      <c r="AH3" s="41" t="s">
        <v>603</v>
      </c>
      <c r="AI3" s="42">
        <f t="shared" si="2"/>
        <v>0</v>
      </c>
      <c r="AJ3" s="42">
        <f t="shared" si="3"/>
        <v>0</v>
      </c>
    </row>
    <row r="4" spans="1:36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29</v>
      </c>
      <c r="F4" s="4" t="s">
        <v>25</v>
      </c>
      <c r="G4" s="4" t="s">
        <v>25</v>
      </c>
      <c r="H4" s="4" t="s">
        <v>25</v>
      </c>
      <c r="I4" s="5">
        <v>44409</v>
      </c>
      <c r="J4" s="6">
        <v>0</v>
      </c>
      <c r="K4" s="6">
        <v>0</v>
      </c>
      <c r="L4" s="6">
        <v>3.9</v>
      </c>
      <c r="M4" s="6">
        <v>3.9</v>
      </c>
      <c r="N4" s="6">
        <v>3.9</v>
      </c>
      <c r="O4" s="6">
        <v>3.9</v>
      </c>
      <c r="P4" s="6">
        <v>1</v>
      </c>
      <c r="Q4" s="4" t="s">
        <v>26</v>
      </c>
      <c r="R4" s="4">
        <v>0</v>
      </c>
      <c r="S4" s="4">
        <v>0</v>
      </c>
      <c r="T4" s="4">
        <v>2</v>
      </c>
      <c r="U4" s="4">
        <v>72</v>
      </c>
      <c r="V4" s="6">
        <f>IF(ISERROR(VLOOKUP($S$4,'TAR FIN'!$A$1:$O$86,15,0)),0,VLOOKUP($S$4,'TAR FIN'!$A$1:$O$86,15,0))</f>
        <v>0</v>
      </c>
      <c r="W4" s="6">
        <f>IF(ISERROR(VLOOKUP($T$4,'TAR FIN'!$A$1:$O$86,15,0)),0,VLOOKUP($T$4,'TAR FIN'!$A$1:$O$86,15,0))</f>
        <v>170.76</v>
      </c>
      <c r="X4" s="6">
        <f>IF(ISERROR(VLOOKUP($U$4,'TAR FIN'!$A$1:$O$86,15,0)),0,VLOOKUP($U$4,'TAR FIN'!$A$1:$O$86,15,0))</f>
        <v>46.15</v>
      </c>
      <c r="Y4" s="6"/>
      <c r="Z4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4" s="6">
        <f>('TE BE'!$AB$12+'TE BF'!$AB$12+'TE CVA'!$AB$12)*(1-CUSTOS!$M$34)</f>
        <v>40.749967156998508</v>
      </c>
      <c r="AB4" s="6">
        <f t="shared" si="0"/>
        <v>0</v>
      </c>
      <c r="AC4" s="6">
        <f>(L4-M4)*(W4+X4)+($W$40+$X$40-$W$4-$X$4)*(L4)</f>
        <v>1571.115</v>
      </c>
      <c r="AD4" s="6">
        <f t="shared" si="1"/>
        <v>0</v>
      </c>
      <c r="AE4" s="6">
        <f ca="1">(L4-M4)*(Z4+AA4)+($Z$40+$AA$40-$Z$4-$AA$4)*(L4)</f>
        <v>1723.4054746820896</v>
      </c>
      <c r="AF4" s="4" t="s">
        <v>597</v>
      </c>
      <c r="AH4" s="41" t="s">
        <v>604</v>
      </c>
      <c r="AI4" s="42">
        <f t="shared" si="2"/>
        <v>0</v>
      </c>
      <c r="AJ4" s="42">
        <f t="shared" si="3"/>
        <v>0</v>
      </c>
    </row>
    <row r="5" spans="1:36" ht="11.25" customHeight="1" x14ac:dyDescent="0.25">
      <c r="A5" s="4" t="s">
        <v>21</v>
      </c>
      <c r="B5" s="4" t="s">
        <v>22</v>
      </c>
      <c r="C5" s="4" t="s">
        <v>23</v>
      </c>
      <c r="D5" s="4" t="s">
        <v>24</v>
      </c>
      <c r="E5" s="4" t="s">
        <v>29</v>
      </c>
      <c r="F5" s="4" t="s">
        <v>25</v>
      </c>
      <c r="G5" s="4" t="s">
        <v>25</v>
      </c>
      <c r="H5" s="4" t="s">
        <v>25</v>
      </c>
      <c r="I5" s="5">
        <v>44440</v>
      </c>
      <c r="J5" s="6">
        <v>0</v>
      </c>
      <c r="K5" s="6">
        <v>0</v>
      </c>
      <c r="L5" s="6">
        <v>3.78</v>
      </c>
      <c r="M5" s="6">
        <v>3.78</v>
      </c>
      <c r="N5" s="6">
        <v>3.78</v>
      </c>
      <c r="O5" s="6">
        <v>3.78</v>
      </c>
      <c r="P5" s="6">
        <v>0</v>
      </c>
      <c r="Q5" s="4" t="s">
        <v>26</v>
      </c>
      <c r="R5" s="4">
        <v>0</v>
      </c>
      <c r="S5" s="4">
        <v>0</v>
      </c>
      <c r="T5" s="4">
        <v>2</v>
      </c>
      <c r="U5" s="4">
        <v>72</v>
      </c>
      <c r="V5" s="6">
        <f>IF(ISERROR(VLOOKUP($S$5,'TAR FIN'!$A$1:$O$86,15,0)),0,VLOOKUP($S$5,'TAR FIN'!$A$1:$O$86,15,0))</f>
        <v>0</v>
      </c>
      <c r="W5" s="6">
        <f>IF(ISERROR(VLOOKUP($T$5,'TAR FIN'!$A$1:$O$86,15,0)),0,VLOOKUP($T$5,'TAR FIN'!$A$1:$O$86,15,0))</f>
        <v>170.76</v>
      </c>
      <c r="X5" s="6">
        <f>IF(ISERROR(VLOOKUP($U$5,'TAR FIN'!$A$1:$O$86,15,0)),0,VLOOKUP($U$5,'TAR FIN'!$A$1:$O$86,15,0))</f>
        <v>46.15</v>
      </c>
      <c r="Y5" s="6"/>
      <c r="Z5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5" s="6">
        <f>('TE BE'!$AB$12+'TE BF'!$AB$12+'TE CVA'!$AB$12)*(1-CUSTOS!$M$34)</f>
        <v>40.749967156998508</v>
      </c>
      <c r="AB5" s="6">
        <f t="shared" si="0"/>
        <v>0</v>
      </c>
      <c r="AC5" s="6">
        <f>(L5-M5)*(W5+X5)+($W$40+$X$40-$W$5-$X$5)*(L5)</f>
        <v>1522.7729999999999</v>
      </c>
      <c r="AD5" s="6">
        <f t="shared" si="1"/>
        <v>0</v>
      </c>
      <c r="AE5" s="6">
        <f ca="1">(L5-M5)*(Z5+AA5)+($Z$40+$AA$40-$Z$5-$AA$5)*(L5)</f>
        <v>1670.3776139226404</v>
      </c>
      <c r="AF5" s="4" t="s">
        <v>597</v>
      </c>
      <c r="AH5" s="41" t="s">
        <v>599</v>
      </c>
      <c r="AI5" s="42">
        <f t="shared" si="2"/>
        <v>3483.4951799999999</v>
      </c>
      <c r="AJ5" s="42">
        <f t="shared" ca="1" si="3"/>
        <v>1989.0907910766045</v>
      </c>
    </row>
    <row r="6" spans="1:36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29</v>
      </c>
      <c r="F6" s="4" t="s">
        <v>25</v>
      </c>
      <c r="G6" s="4" t="s">
        <v>25</v>
      </c>
      <c r="H6" s="4" t="s">
        <v>25</v>
      </c>
      <c r="I6" s="5">
        <v>44470</v>
      </c>
      <c r="J6" s="6">
        <v>0</v>
      </c>
      <c r="K6" s="6">
        <v>0</v>
      </c>
      <c r="L6" s="6">
        <v>4.0199999999999996</v>
      </c>
      <c r="M6" s="6">
        <v>4.0199999999999996</v>
      </c>
      <c r="N6" s="6">
        <v>4.0199999999999996</v>
      </c>
      <c r="O6" s="6">
        <v>4.0199999999999996</v>
      </c>
      <c r="P6" s="6">
        <v>3</v>
      </c>
      <c r="Q6" s="4" t="s">
        <v>26</v>
      </c>
      <c r="R6" s="4">
        <v>0</v>
      </c>
      <c r="S6" s="4">
        <v>0</v>
      </c>
      <c r="T6" s="4">
        <v>2</v>
      </c>
      <c r="U6" s="4">
        <v>72</v>
      </c>
      <c r="V6" s="6">
        <f>IF(ISERROR(VLOOKUP($S$6,'TAR FIN'!$A$1:$O$86,15,0)),0,VLOOKUP($S$6,'TAR FIN'!$A$1:$O$86,15,0))</f>
        <v>0</v>
      </c>
      <c r="W6" s="6">
        <f>IF(ISERROR(VLOOKUP($T$6,'TAR FIN'!$A$1:$O$86,15,0)),0,VLOOKUP($T$6,'TAR FIN'!$A$1:$O$86,15,0))</f>
        <v>170.76</v>
      </c>
      <c r="X6" s="6">
        <f>IF(ISERROR(VLOOKUP($U$6,'TAR FIN'!$A$1:$O$86,15,0)),0,VLOOKUP($U$6,'TAR FIN'!$A$1:$O$86,15,0))</f>
        <v>46.15</v>
      </c>
      <c r="Y6" s="6"/>
      <c r="Z6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6" s="6">
        <f>('TE BE'!$AB$12+'TE BF'!$AB$12+'TE CVA'!$AB$12)*(1-CUSTOS!$M$34)</f>
        <v>40.749967156998508</v>
      </c>
      <c r="AB6" s="6">
        <f t="shared" si="0"/>
        <v>0</v>
      </c>
      <c r="AC6" s="6">
        <f>(L6-M6)*(W6+X6)+($W$40+$X$40-$W$6-$X$6)*(L6)</f>
        <v>1619.4569999999999</v>
      </c>
      <c r="AD6" s="6">
        <f t="shared" si="1"/>
        <v>0</v>
      </c>
      <c r="AE6" s="6">
        <f ca="1">(L6-M6)*(Z6+AA6)+($Z$40+$AA$40-$Z$6-$AA$6)*(L6)</f>
        <v>1776.4333354415382</v>
      </c>
      <c r="AF6" s="4" t="s">
        <v>597</v>
      </c>
      <c r="AH6" s="41" t="s">
        <v>598</v>
      </c>
      <c r="AI6" s="42">
        <f t="shared" si="2"/>
        <v>55759.191360000041</v>
      </c>
      <c r="AJ6" s="42">
        <f t="shared" ca="1" si="3"/>
        <v>31840.742465441832</v>
      </c>
    </row>
    <row r="7" spans="1:36" ht="11.25" customHeight="1" x14ac:dyDescent="0.25">
      <c r="A7" s="4" t="s">
        <v>21</v>
      </c>
      <c r="B7" s="4" t="s">
        <v>22</v>
      </c>
      <c r="C7" s="4" t="s">
        <v>23</v>
      </c>
      <c r="D7" s="4" t="s">
        <v>24</v>
      </c>
      <c r="E7" s="4" t="s">
        <v>29</v>
      </c>
      <c r="F7" s="4" t="s">
        <v>25</v>
      </c>
      <c r="G7" s="4" t="s">
        <v>25</v>
      </c>
      <c r="H7" s="4" t="s">
        <v>25</v>
      </c>
      <c r="I7" s="5">
        <v>44501</v>
      </c>
      <c r="J7" s="6">
        <v>0</v>
      </c>
      <c r="K7" s="6">
        <v>0</v>
      </c>
      <c r="L7" s="6">
        <v>4.41</v>
      </c>
      <c r="M7" s="6">
        <v>4.41</v>
      </c>
      <c r="N7" s="6">
        <v>4.41</v>
      </c>
      <c r="O7" s="6">
        <v>4.41</v>
      </c>
      <c r="P7" s="6">
        <v>2</v>
      </c>
      <c r="Q7" s="4" t="s">
        <v>26</v>
      </c>
      <c r="R7" s="4">
        <v>0</v>
      </c>
      <c r="S7" s="4">
        <v>0</v>
      </c>
      <c r="T7" s="4">
        <v>2</v>
      </c>
      <c r="U7" s="4">
        <v>72</v>
      </c>
      <c r="V7" s="6">
        <f>IF(ISERROR(VLOOKUP($S$7,'TAR FIN'!$A$1:$O$86,15,0)),0,VLOOKUP($S$7,'TAR FIN'!$A$1:$O$86,15,0))</f>
        <v>0</v>
      </c>
      <c r="W7" s="6">
        <f>IF(ISERROR(VLOOKUP($T$7,'TAR FIN'!$A$1:$O$86,15,0)),0,VLOOKUP($T$7,'TAR FIN'!$A$1:$O$86,15,0))</f>
        <v>170.76</v>
      </c>
      <c r="X7" s="6">
        <f>IF(ISERROR(VLOOKUP($U$7,'TAR FIN'!$A$1:$O$86,15,0)),0,VLOOKUP($U$7,'TAR FIN'!$A$1:$O$86,15,0))</f>
        <v>46.15</v>
      </c>
      <c r="Y7" s="6"/>
      <c r="Z7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7" s="6">
        <f>('TE BE'!$AB$12+'TE BF'!$AB$12+'TE CVA'!$AB$12)*(1-CUSTOS!$M$34)</f>
        <v>40.749967156998508</v>
      </c>
      <c r="AB7" s="6">
        <f t="shared" si="0"/>
        <v>0</v>
      </c>
      <c r="AC7" s="6">
        <f>(L7-M7)*(W7+X7)+($W$40+$X$40-$W$7-$X$7)*(L7)</f>
        <v>1776.5685000000001</v>
      </c>
      <c r="AD7" s="6">
        <f t="shared" si="1"/>
        <v>0</v>
      </c>
      <c r="AE7" s="6">
        <f ca="1">(L7-M7)*(Z7+AA7)+($Z$40+$AA$40-$Z$7-$AA$7)*(L7)</f>
        <v>1948.7738829097475</v>
      </c>
      <c r="AF7" s="4" t="s">
        <v>597</v>
      </c>
      <c r="AH7" s="41" t="s">
        <v>605</v>
      </c>
      <c r="AI7" s="42">
        <f t="shared" si="2"/>
        <v>0</v>
      </c>
      <c r="AJ7" s="42">
        <f t="shared" si="3"/>
        <v>0</v>
      </c>
    </row>
    <row r="8" spans="1:36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29</v>
      </c>
      <c r="F8" s="4" t="s">
        <v>25</v>
      </c>
      <c r="G8" s="4" t="s">
        <v>25</v>
      </c>
      <c r="H8" s="4" t="s">
        <v>25</v>
      </c>
      <c r="I8" s="5">
        <v>44531</v>
      </c>
      <c r="J8" s="6">
        <v>0</v>
      </c>
      <c r="K8" s="6">
        <v>0</v>
      </c>
      <c r="L8" s="6">
        <v>4.53</v>
      </c>
      <c r="M8" s="6">
        <v>4.53</v>
      </c>
      <c r="N8" s="6">
        <v>4.53</v>
      </c>
      <c r="O8" s="6">
        <v>4.53</v>
      </c>
      <c r="P8" s="6">
        <v>2</v>
      </c>
      <c r="Q8" s="4" t="s">
        <v>26</v>
      </c>
      <c r="R8" s="4">
        <v>0</v>
      </c>
      <c r="S8" s="4">
        <v>0</v>
      </c>
      <c r="T8" s="4">
        <v>2</v>
      </c>
      <c r="U8" s="4">
        <v>72</v>
      </c>
      <c r="V8" s="6">
        <f>IF(ISERROR(VLOOKUP($S$8,'TAR FIN'!$A$1:$O$86,15,0)),0,VLOOKUP($S$8,'TAR FIN'!$A$1:$O$86,15,0))</f>
        <v>0</v>
      </c>
      <c r="W8" s="6">
        <f>IF(ISERROR(VLOOKUP($T$8,'TAR FIN'!$A$1:$O$86,15,0)),0,VLOOKUP($T$8,'TAR FIN'!$A$1:$O$86,15,0))</f>
        <v>170.76</v>
      </c>
      <c r="X8" s="6">
        <f>IF(ISERROR(VLOOKUP($U$8,'TAR FIN'!$A$1:$O$86,15,0)),0,VLOOKUP($U$8,'TAR FIN'!$A$1:$O$86,15,0))</f>
        <v>46.15</v>
      </c>
      <c r="Y8" s="6"/>
      <c r="Z8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8" s="6">
        <f>('TE BE'!$AB$12+'TE BF'!$AB$12+'TE CVA'!$AB$12)*(1-CUSTOS!$M$34)</f>
        <v>40.749967156998508</v>
      </c>
      <c r="AB8" s="6">
        <f t="shared" si="0"/>
        <v>0</v>
      </c>
      <c r="AC8" s="6">
        <f>(L8-M8)*(W8+X8)+($W$40+$X$40-$W$8-$X$8)*(L8)</f>
        <v>1824.9105000000002</v>
      </c>
      <c r="AD8" s="6">
        <f t="shared" si="1"/>
        <v>0</v>
      </c>
      <c r="AE8" s="6">
        <f ca="1">(L8-M8)*(Z8+AA8)+($Z$40+$AA$40-$Z$8-$AA$8)*(L8)</f>
        <v>2001.8017436691964</v>
      </c>
      <c r="AF8" s="4" t="s">
        <v>597</v>
      </c>
      <c r="AH8" s="41" t="s">
        <v>597</v>
      </c>
      <c r="AI8" s="42">
        <f t="shared" si="2"/>
        <v>112359.19095999998</v>
      </c>
      <c r="AJ8" s="42">
        <f t="shared" ca="1" si="3"/>
        <v>123251.50102776026</v>
      </c>
    </row>
    <row r="9" spans="1:36" ht="11.25" customHeight="1" x14ac:dyDescent="0.25">
      <c r="A9" s="4" t="s">
        <v>21</v>
      </c>
      <c r="B9" s="4" t="s">
        <v>22</v>
      </c>
      <c r="C9" s="4" t="s">
        <v>23</v>
      </c>
      <c r="D9" s="4" t="s">
        <v>24</v>
      </c>
      <c r="E9" s="4" t="s">
        <v>29</v>
      </c>
      <c r="F9" s="4" t="s">
        <v>25</v>
      </c>
      <c r="G9" s="4" t="s">
        <v>25</v>
      </c>
      <c r="H9" s="4" t="s">
        <v>25</v>
      </c>
      <c r="I9" s="5">
        <v>44562</v>
      </c>
      <c r="J9" s="6">
        <v>0</v>
      </c>
      <c r="K9" s="6">
        <v>0</v>
      </c>
      <c r="L9" s="6">
        <v>4.68</v>
      </c>
      <c r="M9" s="6">
        <v>4.68</v>
      </c>
      <c r="N9" s="6">
        <v>4.68</v>
      </c>
      <c r="O9" s="6">
        <v>4.68</v>
      </c>
      <c r="P9" s="6">
        <v>0</v>
      </c>
      <c r="Q9" s="4" t="s">
        <v>26</v>
      </c>
      <c r="R9" s="4">
        <v>0</v>
      </c>
      <c r="S9" s="4">
        <v>0</v>
      </c>
      <c r="T9" s="4">
        <v>2</v>
      </c>
      <c r="U9" s="4">
        <v>72</v>
      </c>
      <c r="V9" s="6">
        <f>IF(ISERROR(VLOOKUP($S$9,'TAR FIN'!$A$1:$O$86,15,0)),0,VLOOKUP($S$9,'TAR FIN'!$A$1:$O$86,15,0))</f>
        <v>0</v>
      </c>
      <c r="W9" s="6">
        <f>IF(ISERROR(VLOOKUP($T$9,'TAR FIN'!$A$1:$O$86,15,0)),0,VLOOKUP($T$9,'TAR FIN'!$A$1:$O$86,15,0))</f>
        <v>170.76</v>
      </c>
      <c r="X9" s="6">
        <f>IF(ISERROR(VLOOKUP($U$9,'TAR FIN'!$A$1:$O$86,15,0)),0,VLOOKUP($U$9,'TAR FIN'!$A$1:$O$86,15,0))</f>
        <v>46.15</v>
      </c>
      <c r="Y9" s="6"/>
      <c r="Z9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9" s="6">
        <f>('TE BE'!$AB$12+'TE BF'!$AB$12+'TE CVA'!$AB$12)*(1-CUSTOS!$M$34)</f>
        <v>40.749967156998508</v>
      </c>
      <c r="AB9" s="6">
        <f t="shared" si="0"/>
        <v>0</v>
      </c>
      <c r="AC9" s="6">
        <f>(L9-M9)*(W9+X9)+($W$40+$X$40-$W$9-$X$9)*(L9)</f>
        <v>1885.338</v>
      </c>
      <c r="AD9" s="6">
        <f t="shared" si="1"/>
        <v>0</v>
      </c>
      <c r="AE9" s="6">
        <f ca="1">(L9-M9)*(Z9+AA9)+($Z$40+$AA$40-$Z$9-$AA$9)*(L9)</f>
        <v>2068.0865696185074</v>
      </c>
      <c r="AF9" s="4" t="s">
        <v>597</v>
      </c>
      <c r="AH9" s="41" t="s">
        <v>606</v>
      </c>
      <c r="AI9" s="42">
        <f t="shared" si="2"/>
        <v>0</v>
      </c>
      <c r="AJ9" s="42">
        <f t="shared" si="3"/>
        <v>0</v>
      </c>
    </row>
    <row r="10" spans="1:36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29</v>
      </c>
      <c r="F10" s="4" t="s">
        <v>25</v>
      </c>
      <c r="G10" s="4" t="s">
        <v>25</v>
      </c>
      <c r="H10" s="4" t="s">
        <v>25</v>
      </c>
      <c r="I10" s="5">
        <v>44593</v>
      </c>
      <c r="J10" s="6">
        <v>0</v>
      </c>
      <c r="K10" s="6">
        <v>0</v>
      </c>
      <c r="L10" s="6">
        <v>6.87</v>
      </c>
      <c r="M10" s="6">
        <v>6.87</v>
      </c>
      <c r="N10" s="6">
        <v>6.87</v>
      </c>
      <c r="O10" s="6">
        <v>6.87</v>
      </c>
      <c r="P10" s="6">
        <v>9</v>
      </c>
      <c r="Q10" s="4" t="s">
        <v>26</v>
      </c>
      <c r="R10" s="4">
        <v>0</v>
      </c>
      <c r="S10" s="4">
        <v>0</v>
      </c>
      <c r="T10" s="4">
        <v>2</v>
      </c>
      <c r="U10" s="4">
        <v>72</v>
      </c>
      <c r="V10" s="6">
        <f>IF(ISERROR(VLOOKUP($S$10,'TAR FIN'!$A$1:$O$86,15,0)),0,VLOOKUP($S$10,'TAR FIN'!$A$1:$O$86,15,0))</f>
        <v>0</v>
      </c>
      <c r="W10" s="6">
        <f>IF(ISERROR(VLOOKUP($T$10,'TAR FIN'!$A$1:$O$86,15,0)),0,VLOOKUP($T$10,'TAR FIN'!$A$1:$O$86,15,0))</f>
        <v>170.76</v>
      </c>
      <c r="X10" s="6">
        <f>IF(ISERROR(VLOOKUP($U$10,'TAR FIN'!$A$1:$O$86,15,0)),0,VLOOKUP($U$10,'TAR FIN'!$A$1:$O$86,15,0))</f>
        <v>46.15</v>
      </c>
      <c r="Y10" s="6"/>
      <c r="Z10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0" s="6">
        <f>('TE BE'!$AB$12+'TE BF'!$AB$12+'TE CVA'!$AB$12)*(1-CUSTOS!$M$34)</f>
        <v>40.749967156998508</v>
      </c>
      <c r="AB10" s="6">
        <f t="shared" si="0"/>
        <v>0</v>
      </c>
      <c r="AC10" s="6">
        <f>(L10-M10)*(W10+X10)+($W$40+$X$40-$W$10-$X$10)*(L10)</f>
        <v>2767.5795000000003</v>
      </c>
      <c r="AD10" s="6">
        <f t="shared" si="1"/>
        <v>0</v>
      </c>
      <c r="AE10" s="6">
        <f ca="1">(L10-M10)*(Z10+AA10)+($Z$40+$AA$40-$Z$10-$AA$10)*(L10)</f>
        <v>3035.8450284784499</v>
      </c>
      <c r="AF10" s="4" t="s">
        <v>597</v>
      </c>
    </row>
    <row r="11" spans="1:36" ht="11.25" customHeight="1" x14ac:dyDescent="0.25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29</v>
      </c>
      <c r="F11" s="4" t="s">
        <v>25</v>
      </c>
      <c r="G11" s="4" t="s">
        <v>25</v>
      </c>
      <c r="H11" s="4" t="s">
        <v>25</v>
      </c>
      <c r="I11" s="5">
        <v>44621</v>
      </c>
      <c r="J11" s="6">
        <v>0</v>
      </c>
      <c r="K11" s="6">
        <v>0</v>
      </c>
      <c r="L11" s="6">
        <v>13.53</v>
      </c>
      <c r="M11" s="6">
        <v>13.53</v>
      </c>
      <c r="N11" s="6">
        <v>13.53</v>
      </c>
      <c r="O11" s="6">
        <v>13.53</v>
      </c>
      <c r="P11" s="6">
        <v>34</v>
      </c>
      <c r="Q11" s="4" t="s">
        <v>26</v>
      </c>
      <c r="R11" s="4">
        <v>0</v>
      </c>
      <c r="S11" s="4">
        <v>0</v>
      </c>
      <c r="T11" s="4">
        <v>2</v>
      </c>
      <c r="U11" s="4">
        <v>72</v>
      </c>
      <c r="V11" s="6">
        <f>IF(ISERROR(VLOOKUP($S$11,'TAR FIN'!$A$1:$O$86,15,0)),0,VLOOKUP($S$11,'TAR FIN'!$A$1:$O$86,15,0))</f>
        <v>0</v>
      </c>
      <c r="W11" s="6">
        <f>IF(ISERROR(VLOOKUP($T$11,'TAR FIN'!$A$1:$O$86,15,0)),0,VLOOKUP($T$11,'TAR FIN'!$A$1:$O$86,15,0))</f>
        <v>170.76</v>
      </c>
      <c r="X11" s="6">
        <f>IF(ISERROR(VLOOKUP($U$11,'TAR FIN'!$A$1:$O$86,15,0)),0,VLOOKUP($U$11,'TAR FIN'!$A$1:$O$86,15,0))</f>
        <v>46.15</v>
      </c>
      <c r="Y11" s="6"/>
      <c r="Z11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1" s="6">
        <f>('TE BE'!$AB$12+'TE BF'!$AB$12+'TE CVA'!$AB$12)*(1-CUSTOS!$M$34)</f>
        <v>40.749967156998508</v>
      </c>
      <c r="AB11" s="6">
        <f t="shared" si="0"/>
        <v>0</v>
      </c>
      <c r="AC11" s="6">
        <f>(L11-M11)*(W11+X11)+($W$40+$X$40-$W$11-$X$11)*(L11)</f>
        <v>5450.5605000000005</v>
      </c>
      <c r="AD11" s="6">
        <f t="shared" si="1"/>
        <v>0</v>
      </c>
      <c r="AE11" s="6">
        <f ca="1">(L11-M11)*(Z11+AA11)+($Z$40+$AA$40-$Z$11-$AA$11)*(L11)</f>
        <v>5978.8913006278644</v>
      </c>
      <c r="AF11" s="4" t="s">
        <v>597</v>
      </c>
    </row>
    <row r="12" spans="1:36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29</v>
      </c>
      <c r="F12" s="4" t="s">
        <v>25</v>
      </c>
      <c r="G12" s="4" t="s">
        <v>25</v>
      </c>
      <c r="H12" s="4" t="s">
        <v>25</v>
      </c>
      <c r="I12" s="5">
        <v>44652</v>
      </c>
      <c r="J12" s="6">
        <v>0</v>
      </c>
      <c r="K12" s="6">
        <v>0</v>
      </c>
      <c r="L12" s="6">
        <v>19.29</v>
      </c>
      <c r="M12" s="6">
        <v>19.29</v>
      </c>
      <c r="N12" s="6">
        <v>19.29</v>
      </c>
      <c r="O12" s="6">
        <v>19.29</v>
      </c>
      <c r="P12" s="6">
        <v>56</v>
      </c>
      <c r="Q12" s="4" t="s">
        <v>26</v>
      </c>
      <c r="R12" s="4">
        <v>0</v>
      </c>
      <c r="S12" s="4">
        <v>0</v>
      </c>
      <c r="T12" s="4">
        <v>2</v>
      </c>
      <c r="U12" s="4">
        <v>72</v>
      </c>
      <c r="V12" s="6">
        <f>IF(ISERROR(VLOOKUP($S$12,'TAR FIN'!$A$1:$O$86,15,0)),0,VLOOKUP($S$12,'TAR FIN'!$A$1:$O$86,15,0))</f>
        <v>0</v>
      </c>
      <c r="W12" s="6">
        <f>IF(ISERROR(VLOOKUP($T$12,'TAR FIN'!$A$1:$O$86,15,0)),0,VLOOKUP($T$12,'TAR FIN'!$A$1:$O$86,15,0))</f>
        <v>170.76</v>
      </c>
      <c r="X12" s="6">
        <f>IF(ISERROR(VLOOKUP($U$12,'TAR FIN'!$A$1:$O$86,15,0)),0,VLOOKUP($U$12,'TAR FIN'!$A$1:$O$86,15,0))</f>
        <v>46.15</v>
      </c>
      <c r="Y12" s="6"/>
      <c r="Z12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2" s="6">
        <f>('TE BE'!$AB$12+'TE BF'!$AB$12+'TE CVA'!$AB$12)*(1-CUSTOS!$M$34)</f>
        <v>40.749967156998508</v>
      </c>
      <c r="AB12" s="6">
        <f t="shared" si="0"/>
        <v>0</v>
      </c>
      <c r="AC12" s="6">
        <f>(L12-M12)*(W12+X12)+($W$40+$X$40-$W$12-$X$12)*(L12)</f>
        <v>7770.9764999999998</v>
      </c>
      <c r="AD12" s="6">
        <f t="shared" si="1"/>
        <v>0</v>
      </c>
      <c r="AE12" s="6">
        <f ca="1">(L12-M12)*(Z12+AA12)+($Z$40+$AA$40-$Z$12-$AA$12)*(L12)</f>
        <v>8524.2286170814114</v>
      </c>
      <c r="AF12" s="4" t="s">
        <v>597</v>
      </c>
    </row>
    <row r="13" spans="1:36" ht="11.25" customHeight="1" x14ac:dyDescent="0.25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29</v>
      </c>
      <c r="F13" s="4" t="s">
        <v>25</v>
      </c>
      <c r="G13" s="4" t="s">
        <v>25</v>
      </c>
      <c r="H13" s="4" t="s">
        <v>25</v>
      </c>
      <c r="I13" s="5">
        <v>44682</v>
      </c>
      <c r="J13" s="6">
        <v>0</v>
      </c>
      <c r="K13" s="6">
        <v>0</v>
      </c>
      <c r="L13" s="6">
        <v>20.91</v>
      </c>
      <c r="M13" s="6">
        <v>20.91</v>
      </c>
      <c r="N13" s="6">
        <v>20.91</v>
      </c>
      <c r="O13" s="6">
        <v>20.91</v>
      </c>
      <c r="P13" s="6">
        <v>69</v>
      </c>
      <c r="Q13" s="4" t="s">
        <v>26</v>
      </c>
      <c r="R13" s="4">
        <v>0</v>
      </c>
      <c r="S13" s="4">
        <v>0</v>
      </c>
      <c r="T13" s="4">
        <v>2</v>
      </c>
      <c r="U13" s="4">
        <v>72</v>
      </c>
      <c r="V13" s="6">
        <f>IF(ISERROR(VLOOKUP($S$13,'TAR FIN'!$A$1:$O$86,15,0)),0,VLOOKUP($S$13,'TAR FIN'!$A$1:$O$86,15,0))</f>
        <v>0</v>
      </c>
      <c r="W13" s="6">
        <f>IF(ISERROR(VLOOKUP($T$13,'TAR FIN'!$A$1:$O$86,15,0)),0,VLOOKUP($T$13,'TAR FIN'!$A$1:$O$86,15,0))</f>
        <v>170.76</v>
      </c>
      <c r="X13" s="6">
        <f>IF(ISERROR(VLOOKUP($U$13,'TAR FIN'!$A$1:$O$86,15,0)),0,VLOOKUP($U$13,'TAR FIN'!$A$1:$O$86,15,0))</f>
        <v>46.15</v>
      </c>
      <c r="Y13" s="6"/>
      <c r="Z13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3" s="6">
        <f>('TE BE'!$AB$12+'TE BF'!$AB$12+'TE CVA'!$AB$12)*(1-CUSTOS!$M$34)</f>
        <v>40.749967156998508</v>
      </c>
      <c r="AB13" s="6">
        <f t="shared" si="0"/>
        <v>0</v>
      </c>
      <c r="AC13" s="6">
        <f>(L13-M13)*(W13+X13)+($W$40+$X$40-$W$13-$X$13)*(L13)</f>
        <v>8423.5935000000009</v>
      </c>
      <c r="AD13" s="6">
        <f t="shared" si="1"/>
        <v>0</v>
      </c>
      <c r="AE13" s="6">
        <f ca="1">(L13-M13)*(Z13+AA13)+($Z$40+$AA$40-$Z$13-$AA$13)*(L13)</f>
        <v>9240.1047373339716</v>
      </c>
      <c r="AF13" s="4" t="s">
        <v>597</v>
      </c>
    </row>
    <row r="14" spans="1:36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29</v>
      </c>
      <c r="F14" s="4" t="s">
        <v>25</v>
      </c>
      <c r="G14" s="4" t="s">
        <v>25</v>
      </c>
      <c r="H14" s="4" t="s">
        <v>25</v>
      </c>
      <c r="I14" s="5">
        <v>44713</v>
      </c>
      <c r="J14" s="6">
        <v>0</v>
      </c>
      <c r="K14" s="6">
        <v>0</v>
      </c>
      <c r="L14" s="6">
        <v>21.87</v>
      </c>
      <c r="M14" s="6">
        <v>21.87</v>
      </c>
      <c r="N14" s="6">
        <v>21.87</v>
      </c>
      <c r="O14" s="6">
        <v>21.87</v>
      </c>
      <c r="P14" s="6">
        <v>71</v>
      </c>
      <c r="Q14" s="4" t="s">
        <v>26</v>
      </c>
      <c r="R14" s="4">
        <v>0</v>
      </c>
      <c r="S14" s="4">
        <v>0</v>
      </c>
      <c r="T14" s="4">
        <v>2</v>
      </c>
      <c r="U14" s="4">
        <v>72</v>
      </c>
      <c r="V14" s="6">
        <f>IF(ISERROR(VLOOKUP($S$14,'TAR FIN'!$A$1:$O$86,15,0)),0,VLOOKUP($S$14,'TAR FIN'!$A$1:$O$86,15,0))</f>
        <v>0</v>
      </c>
      <c r="W14" s="6">
        <f>IF(ISERROR(VLOOKUP($T$14,'TAR FIN'!$A$1:$O$86,15,0)),0,VLOOKUP($T$14,'TAR FIN'!$A$1:$O$86,15,0))</f>
        <v>170.76</v>
      </c>
      <c r="X14" s="6">
        <f>IF(ISERROR(VLOOKUP($U$14,'TAR FIN'!$A$1:$O$86,15,0)),0,VLOOKUP($U$14,'TAR FIN'!$A$1:$O$86,15,0))</f>
        <v>46.15</v>
      </c>
      <c r="Y14" s="6"/>
      <c r="Z14" s="6">
        <f ca="1">('TUSD BE'!$AM$21+'TUSD BF'!$AM$21+'TUSD CVA'!$AM$21-('TUSD BE'!$P$21+'TUSD BF'!$P$21+'TUSD CVA'!$P$21)-('TUSD BE'!$Q$21+'TUSD BF'!$Q$21+'TUSD CVA'!$Q$21)-('TUSD BE'!$R$21+'TUSD BF'!$R$21+'TUSD CVA'!$R$21))*(1-CUSTOS!$M$34)</f>
        <v>197.19556189181066</v>
      </c>
      <c r="AA14" s="6">
        <f>('TE BE'!$AB$12+'TE BF'!$AB$12+'TE CVA'!$AB$12)*(1-CUSTOS!$M$34)</f>
        <v>40.749967156998508</v>
      </c>
      <c r="AB14" s="6">
        <f t="shared" si="0"/>
        <v>0</v>
      </c>
      <c r="AC14" s="6">
        <f>(L14-M14)*(W14+X14)+($W$40+$X$40-$W$14-$X$14)*(L14)</f>
        <v>8810.3295000000016</v>
      </c>
      <c r="AD14" s="6">
        <f t="shared" si="1"/>
        <v>0</v>
      </c>
      <c r="AE14" s="6">
        <f ca="1">(L14-M14)*(Z14+AA14)+($Z$40+$AA$40-$Z$14-$AA$14)*(L14)</f>
        <v>9664.3276234095647</v>
      </c>
      <c r="AF14" s="4" t="s">
        <v>597</v>
      </c>
    </row>
    <row r="15" spans="1:36" ht="11.25" customHeight="1" x14ac:dyDescent="0.25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30</v>
      </c>
      <c r="F15" s="4" t="s">
        <v>25</v>
      </c>
      <c r="G15" s="4" t="s">
        <v>25</v>
      </c>
      <c r="H15" s="4" t="s">
        <v>25</v>
      </c>
      <c r="I15" s="5">
        <v>44378</v>
      </c>
      <c r="J15" s="6">
        <v>0</v>
      </c>
      <c r="K15" s="6">
        <v>0</v>
      </c>
      <c r="L15" s="6">
        <v>8.2100000000000009</v>
      </c>
      <c r="M15" s="6">
        <v>8.2100000000000009</v>
      </c>
      <c r="N15" s="6">
        <v>8.2100000000000009</v>
      </c>
      <c r="O15" s="6">
        <v>8.2100000000000009</v>
      </c>
      <c r="P15" s="6">
        <v>13</v>
      </c>
      <c r="Q15" s="4" t="s">
        <v>26</v>
      </c>
      <c r="R15" s="4">
        <v>0</v>
      </c>
      <c r="S15" s="4">
        <v>0</v>
      </c>
      <c r="T15" s="4">
        <v>13</v>
      </c>
      <c r="U15" s="4">
        <v>69</v>
      </c>
      <c r="V15" s="6">
        <f>IF(ISERROR(VLOOKUP($S$15,'TAR FIN'!$A$1:$O$86,15,0)),0,VLOOKUP($S$15,'TAR FIN'!$A$1:$O$86,15,0))</f>
        <v>0</v>
      </c>
      <c r="W15" s="6">
        <f>IF(ISERROR(VLOOKUP($T$15,'TAR FIN'!$A$1:$O$86,15,0)),0,VLOOKUP($T$15,'TAR FIN'!$A$1:$O$86,15,0))</f>
        <v>292.74</v>
      </c>
      <c r="X15" s="6">
        <f>IF(ISERROR(VLOOKUP($U$15,'TAR FIN'!$A$1:$O$86,15,0)),0,VLOOKUP($U$15,'TAR FIN'!$A$1:$O$86,15,0))</f>
        <v>79.12</v>
      </c>
      <c r="Y15" s="6"/>
      <c r="Z15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5" s="6">
        <f>('TE BE'!$AB$13+'TE BF'!$AB$13+'TE CVA'!$AB$13)*(1-CUSTOS!$M$35)</f>
        <v>69.85708655485459</v>
      </c>
      <c r="AB15" s="6">
        <f t="shared" si="0"/>
        <v>0</v>
      </c>
      <c r="AC15" s="6">
        <f>(L15-M15)*(W15+X15)+($W$40+$X$40-$W$15-$X$15)*(L15)</f>
        <v>2035.259</v>
      </c>
      <c r="AD15" s="6">
        <f t="shared" si="1"/>
        <v>0</v>
      </c>
      <c r="AE15" s="6">
        <f ca="1">(L15-M15)*(Z15+AA15)+($Z$40+$AA$40-$Z$15-$AA$15)*(L15)</f>
        <v>2232.6089068465417</v>
      </c>
      <c r="AF15" s="4" t="s">
        <v>597</v>
      </c>
    </row>
    <row r="16" spans="1:36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30</v>
      </c>
      <c r="F16" s="4" t="s">
        <v>25</v>
      </c>
      <c r="G16" s="4" t="s">
        <v>25</v>
      </c>
      <c r="H16" s="4" t="s">
        <v>25</v>
      </c>
      <c r="I16" s="5">
        <v>44409</v>
      </c>
      <c r="J16" s="6">
        <v>0</v>
      </c>
      <c r="K16" s="6">
        <v>0</v>
      </c>
      <c r="L16" s="6">
        <v>8.6159999999999997</v>
      </c>
      <c r="M16" s="6">
        <v>8.6159999999999997</v>
      </c>
      <c r="N16" s="6">
        <v>8.6159999999999997</v>
      </c>
      <c r="O16" s="6">
        <v>8.6159999999999997</v>
      </c>
      <c r="P16" s="6">
        <v>13</v>
      </c>
      <c r="Q16" s="4" t="s">
        <v>26</v>
      </c>
      <c r="R16" s="4">
        <v>0</v>
      </c>
      <c r="S16" s="4">
        <v>0</v>
      </c>
      <c r="T16" s="4">
        <v>13</v>
      </c>
      <c r="U16" s="4">
        <v>69</v>
      </c>
      <c r="V16" s="6">
        <f>IF(ISERROR(VLOOKUP($S$16,'TAR FIN'!$A$1:$O$86,15,0)),0,VLOOKUP($S$16,'TAR FIN'!$A$1:$O$86,15,0))</f>
        <v>0</v>
      </c>
      <c r="W16" s="6">
        <f>IF(ISERROR(VLOOKUP($T$16,'TAR FIN'!$A$1:$O$86,15,0)),0,VLOOKUP($T$16,'TAR FIN'!$A$1:$O$86,15,0))</f>
        <v>292.74</v>
      </c>
      <c r="X16" s="6">
        <f>IF(ISERROR(VLOOKUP($U$16,'TAR FIN'!$A$1:$O$86,15,0)),0,VLOOKUP($U$16,'TAR FIN'!$A$1:$O$86,15,0))</f>
        <v>79.12</v>
      </c>
      <c r="Y16" s="6"/>
      <c r="Z16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6" s="6">
        <f>('TE BE'!$AB$13+'TE BF'!$AB$13+'TE CVA'!$AB$13)*(1-CUSTOS!$M$35)</f>
        <v>69.85708655485459</v>
      </c>
      <c r="AB16" s="6">
        <f t="shared" si="0"/>
        <v>0</v>
      </c>
      <c r="AC16" s="6">
        <f>(L16-M16)*(W16+X16)+($W$40+$X$40-$W$16-$X$16)*(L16)</f>
        <v>2135.9063999999998</v>
      </c>
      <c r="AD16" s="6">
        <f t="shared" si="1"/>
        <v>0</v>
      </c>
      <c r="AE16" s="6">
        <f ca="1">(L16-M16)*(Z16+AA16)+($Z$40+$AA$40-$Z$16-$AA$16)*(L16)</f>
        <v>2343.0156323251886</v>
      </c>
      <c r="AF16" s="4" t="s">
        <v>597</v>
      </c>
    </row>
    <row r="17" spans="1:32" ht="11.25" customHeight="1" x14ac:dyDescent="0.25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30</v>
      </c>
      <c r="F17" s="4" t="s">
        <v>25</v>
      </c>
      <c r="G17" s="4" t="s">
        <v>25</v>
      </c>
      <c r="H17" s="4" t="s">
        <v>25</v>
      </c>
      <c r="I17" s="5">
        <v>44440</v>
      </c>
      <c r="J17" s="6">
        <v>0</v>
      </c>
      <c r="K17" s="6">
        <v>0</v>
      </c>
      <c r="L17" s="6">
        <v>8.3450000000000006</v>
      </c>
      <c r="M17" s="6">
        <v>8.3450000000000006</v>
      </c>
      <c r="N17" s="6">
        <v>8.3450000000000006</v>
      </c>
      <c r="O17" s="6">
        <v>8.3450000000000006</v>
      </c>
      <c r="P17" s="6">
        <v>15</v>
      </c>
      <c r="Q17" s="4" t="s">
        <v>26</v>
      </c>
      <c r="R17" s="4">
        <v>0</v>
      </c>
      <c r="S17" s="4">
        <v>0</v>
      </c>
      <c r="T17" s="4">
        <v>13</v>
      </c>
      <c r="U17" s="4">
        <v>69</v>
      </c>
      <c r="V17" s="6">
        <f>IF(ISERROR(VLOOKUP($S$17,'TAR FIN'!$A$1:$O$86,15,0)),0,VLOOKUP($S$17,'TAR FIN'!$A$1:$O$86,15,0))</f>
        <v>0</v>
      </c>
      <c r="W17" s="6">
        <f>IF(ISERROR(VLOOKUP($T$17,'TAR FIN'!$A$1:$O$86,15,0)),0,VLOOKUP($T$17,'TAR FIN'!$A$1:$O$86,15,0))</f>
        <v>292.74</v>
      </c>
      <c r="X17" s="6">
        <f>IF(ISERROR(VLOOKUP($U$17,'TAR FIN'!$A$1:$O$86,15,0)),0,VLOOKUP($U$17,'TAR FIN'!$A$1:$O$86,15,0))</f>
        <v>79.12</v>
      </c>
      <c r="Y17" s="6"/>
      <c r="Z17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7" s="6">
        <f>('TE BE'!$AB$13+'TE BF'!$AB$13+'TE CVA'!$AB$13)*(1-CUSTOS!$M$35)</f>
        <v>69.85708655485459</v>
      </c>
      <c r="AB17" s="6">
        <f t="shared" si="0"/>
        <v>0</v>
      </c>
      <c r="AC17" s="6">
        <f>(L17-M17)*(W17+X17)+($W$40+$X$40-$W$17-$X$17)*(L17)</f>
        <v>2068.7255</v>
      </c>
      <c r="AD17" s="6">
        <f t="shared" si="1"/>
        <v>0</v>
      </c>
      <c r="AE17" s="6">
        <f ca="1">(L17-M17)*(Z17+AA17)+($Z$40+$AA$40-$Z$17-$AA$17)*(L17)</f>
        <v>2269.3205027569293</v>
      </c>
      <c r="AF17" s="4" t="s">
        <v>597</v>
      </c>
    </row>
    <row r="18" spans="1:32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30</v>
      </c>
      <c r="F18" s="4" t="s">
        <v>25</v>
      </c>
      <c r="G18" s="4" t="s">
        <v>25</v>
      </c>
      <c r="H18" s="4" t="s">
        <v>25</v>
      </c>
      <c r="I18" s="5">
        <v>44470</v>
      </c>
      <c r="J18" s="6">
        <v>0</v>
      </c>
      <c r="K18" s="6">
        <v>0</v>
      </c>
      <c r="L18" s="6">
        <v>8.9440000000000008</v>
      </c>
      <c r="M18" s="6">
        <v>8.9440000000000008</v>
      </c>
      <c r="N18" s="6">
        <v>8.9440000000000008</v>
      </c>
      <c r="O18" s="6">
        <v>8.9440000000000008</v>
      </c>
      <c r="P18" s="6">
        <v>10</v>
      </c>
      <c r="Q18" s="4" t="s">
        <v>26</v>
      </c>
      <c r="R18" s="4">
        <v>0</v>
      </c>
      <c r="S18" s="4">
        <v>0</v>
      </c>
      <c r="T18" s="4">
        <v>13</v>
      </c>
      <c r="U18" s="4">
        <v>69</v>
      </c>
      <c r="V18" s="6">
        <f>IF(ISERROR(VLOOKUP($S$18,'TAR FIN'!$A$1:$O$86,15,0)),0,VLOOKUP($S$18,'TAR FIN'!$A$1:$O$86,15,0))</f>
        <v>0</v>
      </c>
      <c r="W18" s="6">
        <f>IF(ISERROR(VLOOKUP($T$18,'TAR FIN'!$A$1:$O$86,15,0)),0,VLOOKUP($T$18,'TAR FIN'!$A$1:$O$86,15,0))</f>
        <v>292.74</v>
      </c>
      <c r="X18" s="6">
        <f>IF(ISERROR(VLOOKUP($U$18,'TAR FIN'!$A$1:$O$86,15,0)),0,VLOOKUP($U$18,'TAR FIN'!$A$1:$O$86,15,0))</f>
        <v>79.12</v>
      </c>
      <c r="Y18" s="6"/>
      <c r="Z18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8" s="6">
        <f>('TE BE'!$AB$13+'TE BF'!$AB$13+'TE CVA'!$AB$13)*(1-CUSTOS!$M$35)</f>
        <v>69.85708655485459</v>
      </c>
      <c r="AB18" s="6">
        <f t="shared" si="0"/>
        <v>0</v>
      </c>
      <c r="AC18" s="6">
        <f>(L18-M18)*(W18+X18)+($W$40+$X$40-$W$18-$X$18)*(L18)</f>
        <v>2217.2175999999999</v>
      </c>
      <c r="AD18" s="6">
        <f t="shared" si="1"/>
        <v>0</v>
      </c>
      <c r="AE18" s="6">
        <f ca="1">(L18-M18)*(Z18+AA18)+($Z$40+$AA$40-$Z$18-$AA$18)*(L18)</f>
        <v>2432.2112135000571</v>
      </c>
      <c r="AF18" s="4" t="s">
        <v>597</v>
      </c>
    </row>
    <row r="19" spans="1:32" ht="11.25" customHeight="1" x14ac:dyDescent="0.25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30</v>
      </c>
      <c r="F19" s="4" t="s">
        <v>25</v>
      </c>
      <c r="G19" s="4" t="s">
        <v>25</v>
      </c>
      <c r="H19" s="4" t="s">
        <v>25</v>
      </c>
      <c r="I19" s="5">
        <v>44501</v>
      </c>
      <c r="J19" s="6">
        <v>0</v>
      </c>
      <c r="K19" s="6">
        <v>0</v>
      </c>
      <c r="L19" s="6">
        <v>9.7840000000000007</v>
      </c>
      <c r="M19" s="6">
        <v>9.7840000000000007</v>
      </c>
      <c r="N19" s="6">
        <v>9.7840000000000007</v>
      </c>
      <c r="O19" s="6">
        <v>9.7840000000000007</v>
      </c>
      <c r="P19" s="6">
        <v>15</v>
      </c>
      <c r="Q19" s="4" t="s">
        <v>26</v>
      </c>
      <c r="R19" s="4">
        <v>0</v>
      </c>
      <c r="S19" s="4">
        <v>0</v>
      </c>
      <c r="T19" s="4">
        <v>13</v>
      </c>
      <c r="U19" s="4">
        <v>69</v>
      </c>
      <c r="V19" s="6">
        <f>IF(ISERROR(VLOOKUP($S$19,'TAR FIN'!$A$1:$O$86,15,0)),0,VLOOKUP($S$19,'TAR FIN'!$A$1:$O$86,15,0))</f>
        <v>0</v>
      </c>
      <c r="W19" s="6">
        <f>IF(ISERROR(VLOOKUP($T$19,'TAR FIN'!$A$1:$O$86,15,0)),0,VLOOKUP($T$19,'TAR FIN'!$A$1:$O$86,15,0))</f>
        <v>292.74</v>
      </c>
      <c r="X19" s="6">
        <f>IF(ISERROR(VLOOKUP($U$19,'TAR FIN'!$A$1:$O$86,15,0)),0,VLOOKUP($U$19,'TAR FIN'!$A$1:$O$86,15,0))</f>
        <v>79.12</v>
      </c>
      <c r="Y19" s="6"/>
      <c r="Z19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19" s="6">
        <f>('TE BE'!$AB$13+'TE BF'!$AB$13+'TE CVA'!$AB$13)*(1-CUSTOS!$M$35)</f>
        <v>69.85708655485459</v>
      </c>
      <c r="AB19" s="6">
        <f t="shared" si="0"/>
        <v>0</v>
      </c>
      <c r="AC19" s="6">
        <f>(L19-M19)*(W19+X19)+($W$40+$X$40-$W$19-$X$19)*(L19)</f>
        <v>2425.4535999999998</v>
      </c>
      <c r="AD19" s="6">
        <f t="shared" si="1"/>
        <v>0</v>
      </c>
      <c r="AE19" s="6">
        <f ca="1">(L19-M19)*(Z19+AA19)+($Z$40+$AA$40-$Z$19-$AA$19)*(L19)</f>
        <v>2660.6389213869138</v>
      </c>
      <c r="AF19" s="4" t="s">
        <v>597</v>
      </c>
    </row>
    <row r="20" spans="1:32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30</v>
      </c>
      <c r="F20" s="4" t="s">
        <v>25</v>
      </c>
      <c r="G20" s="4" t="s">
        <v>25</v>
      </c>
      <c r="H20" s="4" t="s">
        <v>25</v>
      </c>
      <c r="I20" s="5">
        <v>44531</v>
      </c>
      <c r="J20" s="6">
        <v>0</v>
      </c>
      <c r="K20" s="6">
        <v>0</v>
      </c>
      <c r="L20" s="6">
        <v>10.077999999999999</v>
      </c>
      <c r="M20" s="6">
        <v>10.077999999999999</v>
      </c>
      <c r="N20" s="6">
        <v>10.077999999999999</v>
      </c>
      <c r="O20" s="6">
        <v>10.077999999999999</v>
      </c>
      <c r="P20" s="6">
        <v>14</v>
      </c>
      <c r="Q20" s="4" t="s">
        <v>26</v>
      </c>
      <c r="R20" s="4">
        <v>0</v>
      </c>
      <c r="S20" s="4">
        <v>0</v>
      </c>
      <c r="T20" s="4">
        <v>13</v>
      </c>
      <c r="U20" s="4">
        <v>69</v>
      </c>
      <c r="V20" s="6">
        <f>IF(ISERROR(VLOOKUP($S$20,'TAR FIN'!$A$1:$O$86,15,0)),0,VLOOKUP($S$20,'TAR FIN'!$A$1:$O$86,15,0))</f>
        <v>0</v>
      </c>
      <c r="W20" s="6">
        <f>IF(ISERROR(VLOOKUP($T$20,'TAR FIN'!$A$1:$O$86,15,0)),0,VLOOKUP($T$20,'TAR FIN'!$A$1:$O$86,15,0))</f>
        <v>292.74</v>
      </c>
      <c r="X20" s="6">
        <f>IF(ISERROR(VLOOKUP($U$20,'TAR FIN'!$A$1:$O$86,15,0)),0,VLOOKUP($U$20,'TAR FIN'!$A$1:$O$86,15,0))</f>
        <v>79.12</v>
      </c>
      <c r="Y20" s="6"/>
      <c r="Z20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0" s="6">
        <f>('TE BE'!$AB$13+'TE BF'!$AB$13+'TE CVA'!$AB$13)*(1-CUSTOS!$M$35)</f>
        <v>69.85708655485459</v>
      </c>
      <c r="AB20" s="6">
        <f t="shared" si="0"/>
        <v>0</v>
      </c>
      <c r="AC20" s="6">
        <f>(L20-M20)*(W20+X20)+($W$40+$X$40-$W$20-$X$20)*(L20)</f>
        <v>2498.3361999999997</v>
      </c>
      <c r="AD20" s="6">
        <f t="shared" si="1"/>
        <v>0</v>
      </c>
      <c r="AE20" s="6">
        <f ca="1">(L20-M20)*(Z20+AA20)+($Z$40+$AA$40-$Z$20-$AA$20)*(L20)</f>
        <v>2740.5886191473132</v>
      </c>
      <c r="AF20" s="4" t="s">
        <v>597</v>
      </c>
    </row>
    <row r="21" spans="1:32" ht="11.25" customHeight="1" x14ac:dyDescent="0.25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30</v>
      </c>
      <c r="F21" s="4" t="s">
        <v>25</v>
      </c>
      <c r="G21" s="4" t="s">
        <v>25</v>
      </c>
      <c r="H21" s="4" t="s">
        <v>25</v>
      </c>
      <c r="I21" s="5">
        <v>44562</v>
      </c>
      <c r="J21" s="6">
        <v>0</v>
      </c>
      <c r="K21" s="6">
        <v>0</v>
      </c>
      <c r="L21" s="6">
        <v>10.484999999999999</v>
      </c>
      <c r="M21" s="6">
        <v>10.484999999999999</v>
      </c>
      <c r="N21" s="6">
        <v>10.484999999999999</v>
      </c>
      <c r="O21" s="6">
        <v>10.484999999999999</v>
      </c>
      <c r="P21" s="6">
        <v>19</v>
      </c>
      <c r="Q21" s="4" t="s">
        <v>26</v>
      </c>
      <c r="R21" s="4">
        <v>0</v>
      </c>
      <c r="S21" s="4">
        <v>0</v>
      </c>
      <c r="T21" s="4">
        <v>13</v>
      </c>
      <c r="U21" s="4">
        <v>69</v>
      </c>
      <c r="V21" s="6">
        <f>IF(ISERROR(VLOOKUP($S$21,'TAR FIN'!$A$1:$O$86,15,0)),0,VLOOKUP($S$21,'TAR FIN'!$A$1:$O$86,15,0))</f>
        <v>0</v>
      </c>
      <c r="W21" s="6">
        <f>IF(ISERROR(VLOOKUP($T$21,'TAR FIN'!$A$1:$O$86,15,0)),0,VLOOKUP($T$21,'TAR FIN'!$A$1:$O$86,15,0))</f>
        <v>292.74</v>
      </c>
      <c r="X21" s="6">
        <f>IF(ISERROR(VLOOKUP($U$21,'TAR FIN'!$A$1:$O$86,15,0)),0,VLOOKUP($U$21,'TAR FIN'!$A$1:$O$86,15,0))</f>
        <v>79.12</v>
      </c>
      <c r="Y21" s="6"/>
      <c r="Z21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1" s="6">
        <f>('TE BE'!$AB$13+'TE BF'!$AB$13+'TE CVA'!$AB$13)*(1-CUSTOS!$M$35)</f>
        <v>69.85708655485459</v>
      </c>
      <c r="AB21" s="6">
        <f t="shared" si="0"/>
        <v>0</v>
      </c>
      <c r="AC21" s="6">
        <f>(L21-M21)*(W21+X21)+($W$40+$X$40-$W$21-$X$21)*(L21)</f>
        <v>2599.2314999999994</v>
      </c>
      <c r="AD21" s="6">
        <f t="shared" si="1"/>
        <v>0</v>
      </c>
      <c r="AE21" s="6">
        <f ca="1">(L21-M21)*(Z21+AA21)+($Z$40+$AA$40-$Z$21-$AA$21)*(L21)</f>
        <v>2851.2672823734451</v>
      </c>
      <c r="AF21" s="4" t="s">
        <v>597</v>
      </c>
    </row>
    <row r="22" spans="1:32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30</v>
      </c>
      <c r="F22" s="4" t="s">
        <v>25</v>
      </c>
      <c r="G22" s="4" t="s">
        <v>25</v>
      </c>
      <c r="H22" s="4" t="s">
        <v>25</v>
      </c>
      <c r="I22" s="5">
        <v>44593</v>
      </c>
      <c r="J22" s="6">
        <v>0</v>
      </c>
      <c r="K22" s="6">
        <v>0</v>
      </c>
      <c r="L22" s="6">
        <v>14.499000000000001</v>
      </c>
      <c r="M22" s="6">
        <v>14.499000000000001</v>
      </c>
      <c r="N22" s="6">
        <v>14.499000000000001</v>
      </c>
      <c r="O22" s="6">
        <v>14.499000000000001</v>
      </c>
      <c r="P22" s="6">
        <v>35</v>
      </c>
      <c r="Q22" s="4" t="s">
        <v>26</v>
      </c>
      <c r="R22" s="4">
        <v>0</v>
      </c>
      <c r="S22" s="4">
        <v>0</v>
      </c>
      <c r="T22" s="4">
        <v>13</v>
      </c>
      <c r="U22" s="4">
        <v>69</v>
      </c>
      <c r="V22" s="6">
        <f>IF(ISERROR(VLOOKUP($S$22,'TAR FIN'!$A$1:$O$86,15,0)),0,VLOOKUP($S$22,'TAR FIN'!$A$1:$O$86,15,0))</f>
        <v>0</v>
      </c>
      <c r="W22" s="6">
        <f>IF(ISERROR(VLOOKUP($T$22,'TAR FIN'!$A$1:$O$86,15,0)),0,VLOOKUP($T$22,'TAR FIN'!$A$1:$O$86,15,0))</f>
        <v>292.74</v>
      </c>
      <c r="X22" s="6">
        <f>IF(ISERROR(VLOOKUP($U$22,'TAR FIN'!$A$1:$O$86,15,0)),0,VLOOKUP($U$22,'TAR FIN'!$A$1:$O$86,15,0))</f>
        <v>79.12</v>
      </c>
      <c r="Y22" s="6"/>
      <c r="Z22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2" s="6">
        <f>('TE BE'!$AB$13+'TE BF'!$AB$13+'TE CVA'!$AB$13)*(1-CUSTOS!$M$35)</f>
        <v>69.85708655485459</v>
      </c>
      <c r="AB22" s="6">
        <f t="shared" si="0"/>
        <v>0</v>
      </c>
      <c r="AC22" s="6">
        <f>(L22-M22)*(W22+X22)+($W$40+$X$40-$W$22-$X$22)*(L22)</f>
        <v>3594.3020999999999</v>
      </c>
      <c r="AD22" s="6">
        <f t="shared" si="1"/>
        <v>0</v>
      </c>
      <c r="AE22" s="6">
        <f ca="1">(L22-M22)*(Z22+AA22)+($Z$40+$AA$40-$Z$22-$AA$22)*(L22)</f>
        <v>3942.82540077564</v>
      </c>
      <c r="AF22" s="4" t="s">
        <v>597</v>
      </c>
    </row>
    <row r="23" spans="1:32" ht="11.25" customHeight="1" x14ac:dyDescent="0.25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30</v>
      </c>
      <c r="F23" s="4" t="s">
        <v>25</v>
      </c>
      <c r="G23" s="4" t="s">
        <v>25</v>
      </c>
      <c r="H23" s="4" t="s">
        <v>25</v>
      </c>
      <c r="I23" s="5">
        <v>44621</v>
      </c>
      <c r="J23" s="6">
        <v>0</v>
      </c>
      <c r="K23" s="6">
        <v>0</v>
      </c>
      <c r="L23" s="6">
        <v>26.244</v>
      </c>
      <c r="M23" s="6">
        <v>26.244</v>
      </c>
      <c r="N23" s="6">
        <v>26.244</v>
      </c>
      <c r="O23" s="6">
        <v>26.244</v>
      </c>
      <c r="P23" s="6">
        <v>109</v>
      </c>
      <c r="Q23" s="4" t="s">
        <v>26</v>
      </c>
      <c r="R23" s="4">
        <v>0</v>
      </c>
      <c r="S23" s="4">
        <v>0</v>
      </c>
      <c r="T23" s="4">
        <v>13</v>
      </c>
      <c r="U23" s="4">
        <v>69</v>
      </c>
      <c r="V23" s="6">
        <f>IF(ISERROR(VLOOKUP($S$23,'TAR FIN'!$A$1:$O$86,15,0)),0,VLOOKUP($S$23,'TAR FIN'!$A$1:$O$86,15,0))</f>
        <v>0</v>
      </c>
      <c r="W23" s="6">
        <f>IF(ISERROR(VLOOKUP($T$23,'TAR FIN'!$A$1:$O$86,15,0)),0,VLOOKUP($T$23,'TAR FIN'!$A$1:$O$86,15,0))</f>
        <v>292.74</v>
      </c>
      <c r="X23" s="6">
        <f>IF(ISERROR(VLOOKUP($U$23,'TAR FIN'!$A$1:$O$86,15,0)),0,VLOOKUP($U$23,'TAR FIN'!$A$1:$O$86,15,0))</f>
        <v>79.12</v>
      </c>
      <c r="Y23" s="6"/>
      <c r="Z23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3" s="6">
        <f>('TE BE'!$AB$13+'TE BF'!$AB$13+'TE CVA'!$AB$13)*(1-CUSTOS!$M$35)</f>
        <v>69.85708655485459</v>
      </c>
      <c r="AB23" s="6">
        <f t="shared" si="0"/>
        <v>0</v>
      </c>
      <c r="AC23" s="6">
        <f>(L23-M23)*(W23+X23)+($W$40+$X$40-$W$23-$X$23)*(L23)</f>
        <v>6505.8875999999991</v>
      </c>
      <c r="AD23" s="6">
        <f t="shared" si="1"/>
        <v>0</v>
      </c>
      <c r="AE23" s="6">
        <f ca="1">(L23-M23)*(Z23+AA23)+($Z$40+$AA$40-$Z$23-$AA$23)*(L23)</f>
        <v>7136.7342449793705</v>
      </c>
      <c r="AF23" s="4" t="s">
        <v>597</v>
      </c>
    </row>
    <row r="24" spans="1:32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30</v>
      </c>
      <c r="F24" s="4" t="s">
        <v>25</v>
      </c>
      <c r="G24" s="4" t="s">
        <v>25</v>
      </c>
      <c r="H24" s="4" t="s">
        <v>25</v>
      </c>
      <c r="I24" s="5">
        <v>44652</v>
      </c>
      <c r="J24" s="6">
        <v>0</v>
      </c>
      <c r="K24" s="6">
        <v>0</v>
      </c>
      <c r="L24" s="6">
        <v>36.750999999999998</v>
      </c>
      <c r="M24" s="6">
        <v>36.750999999999998</v>
      </c>
      <c r="N24" s="6">
        <v>36.750999999999998</v>
      </c>
      <c r="O24" s="6">
        <v>36.750999999999998</v>
      </c>
      <c r="P24" s="6">
        <v>150</v>
      </c>
      <c r="Q24" s="4" t="s">
        <v>26</v>
      </c>
      <c r="R24" s="4">
        <v>0</v>
      </c>
      <c r="S24" s="4">
        <v>0</v>
      </c>
      <c r="T24" s="4">
        <v>13</v>
      </c>
      <c r="U24" s="4">
        <v>69</v>
      </c>
      <c r="V24" s="6">
        <f>IF(ISERROR(VLOOKUP($S$24,'TAR FIN'!$A$1:$O$86,15,0)),0,VLOOKUP($S$24,'TAR FIN'!$A$1:$O$86,15,0))</f>
        <v>0</v>
      </c>
      <c r="W24" s="6">
        <f>IF(ISERROR(VLOOKUP($T$24,'TAR FIN'!$A$1:$O$86,15,0)),0,VLOOKUP($T$24,'TAR FIN'!$A$1:$O$86,15,0))</f>
        <v>292.74</v>
      </c>
      <c r="X24" s="6">
        <f>IF(ISERROR(VLOOKUP($U$24,'TAR FIN'!$A$1:$O$86,15,0)),0,VLOOKUP($U$24,'TAR FIN'!$A$1:$O$86,15,0))</f>
        <v>79.12</v>
      </c>
      <c r="Y24" s="6"/>
      <c r="Z24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4" s="6">
        <f>('TE BE'!$AB$13+'TE BF'!$AB$13+'TE CVA'!$AB$13)*(1-CUSTOS!$M$35)</f>
        <v>69.85708655485459</v>
      </c>
      <c r="AB24" s="6">
        <f t="shared" si="0"/>
        <v>0</v>
      </c>
      <c r="AC24" s="6">
        <f>(L24-M24)*(W24+X24)+($W$40+$X$40-$W$24-$X$24)*(L24)</f>
        <v>9110.5728999999992</v>
      </c>
      <c r="AD24" s="6">
        <f t="shared" si="1"/>
        <v>0</v>
      </c>
      <c r="AE24" s="6">
        <f ca="1">(L24-M24)*(Z24+AA24)+($Z$40+$AA$40-$Z$24-$AA$24)*(L24)</f>
        <v>9993.9841577974712</v>
      </c>
      <c r="AF24" s="4" t="s">
        <v>597</v>
      </c>
    </row>
    <row r="25" spans="1:32" ht="11.25" customHeight="1" x14ac:dyDescent="0.25">
      <c r="A25" s="4" t="s">
        <v>21</v>
      </c>
      <c r="B25" s="4" t="s">
        <v>22</v>
      </c>
      <c r="C25" s="4" t="s">
        <v>23</v>
      </c>
      <c r="D25" s="4" t="s">
        <v>24</v>
      </c>
      <c r="E25" s="4" t="s">
        <v>30</v>
      </c>
      <c r="F25" s="4" t="s">
        <v>25</v>
      </c>
      <c r="G25" s="4" t="s">
        <v>25</v>
      </c>
      <c r="H25" s="4" t="s">
        <v>25</v>
      </c>
      <c r="I25" s="5">
        <v>44682</v>
      </c>
      <c r="J25" s="6">
        <v>0</v>
      </c>
      <c r="K25" s="6">
        <v>0</v>
      </c>
      <c r="L25" s="6">
        <v>38.4</v>
      </c>
      <c r="M25" s="6">
        <v>38.4</v>
      </c>
      <c r="N25" s="6">
        <v>38.4</v>
      </c>
      <c r="O25" s="6">
        <v>38.4</v>
      </c>
      <c r="P25" s="6">
        <v>175</v>
      </c>
      <c r="Q25" s="4" t="s">
        <v>26</v>
      </c>
      <c r="R25" s="4">
        <v>0</v>
      </c>
      <c r="S25" s="4">
        <v>0</v>
      </c>
      <c r="T25" s="4">
        <v>13</v>
      </c>
      <c r="U25" s="4">
        <v>69</v>
      </c>
      <c r="V25" s="6">
        <f>IF(ISERROR(VLOOKUP($S$25,'TAR FIN'!$A$1:$O$86,15,0)),0,VLOOKUP($S$25,'TAR FIN'!$A$1:$O$86,15,0))</f>
        <v>0</v>
      </c>
      <c r="W25" s="6">
        <f>IF(ISERROR(VLOOKUP($T$25,'TAR FIN'!$A$1:$O$86,15,0)),0,VLOOKUP($T$25,'TAR FIN'!$A$1:$O$86,15,0))</f>
        <v>292.74</v>
      </c>
      <c r="X25" s="6">
        <f>IF(ISERROR(VLOOKUP($U$25,'TAR FIN'!$A$1:$O$86,15,0)),0,VLOOKUP($U$25,'TAR FIN'!$A$1:$O$86,15,0))</f>
        <v>79.12</v>
      </c>
      <c r="Y25" s="6"/>
      <c r="Z25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5" s="6">
        <f>('TE BE'!$AB$13+'TE BF'!$AB$13+'TE CVA'!$AB$13)*(1-CUSTOS!$M$35)</f>
        <v>69.85708655485459</v>
      </c>
      <c r="AB25" s="6">
        <f t="shared" si="0"/>
        <v>0</v>
      </c>
      <c r="AC25" s="6">
        <f>(L25-M25)*(W25+X25)+($W$40+$X$40-$W$25-$X$25)*(L25)</f>
        <v>9519.3599999999988</v>
      </c>
      <c r="AD25" s="6">
        <f t="shared" si="1"/>
        <v>0</v>
      </c>
      <c r="AE25" s="6">
        <f ca="1">(L25-M25)*(Z25+AA25)+($Z$40+$AA$40-$Z$25-$AA$25)*(L25)</f>
        <v>10442.409503399171</v>
      </c>
      <c r="AF25" s="4" t="s">
        <v>597</v>
      </c>
    </row>
    <row r="26" spans="1:32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30</v>
      </c>
      <c r="F26" s="4" t="s">
        <v>25</v>
      </c>
      <c r="G26" s="4" t="s">
        <v>25</v>
      </c>
      <c r="H26" s="4" t="s">
        <v>25</v>
      </c>
      <c r="I26" s="5">
        <v>44713</v>
      </c>
      <c r="J26" s="6">
        <v>0</v>
      </c>
      <c r="K26" s="6">
        <v>0</v>
      </c>
      <c r="L26" s="6">
        <v>40.319000000000003</v>
      </c>
      <c r="M26" s="6">
        <v>40.319000000000003</v>
      </c>
      <c r="N26" s="6">
        <v>40.319000000000003</v>
      </c>
      <c r="O26" s="6">
        <v>40.319000000000003</v>
      </c>
      <c r="P26" s="6">
        <v>180</v>
      </c>
      <c r="Q26" s="4" t="s">
        <v>26</v>
      </c>
      <c r="R26" s="4">
        <v>0</v>
      </c>
      <c r="S26" s="4">
        <v>0</v>
      </c>
      <c r="T26" s="4">
        <v>13</v>
      </c>
      <c r="U26" s="4">
        <v>69</v>
      </c>
      <c r="V26" s="6">
        <f>IF(ISERROR(VLOOKUP($S$26,'TAR FIN'!$A$1:$O$86,15,0)),0,VLOOKUP($S$26,'TAR FIN'!$A$1:$O$86,15,0))</f>
        <v>0</v>
      </c>
      <c r="W26" s="6">
        <f>IF(ISERROR(VLOOKUP($T$26,'TAR FIN'!$A$1:$O$86,15,0)),0,VLOOKUP($T$26,'TAR FIN'!$A$1:$O$86,15,0))</f>
        <v>292.74</v>
      </c>
      <c r="X26" s="6">
        <f>IF(ISERROR(VLOOKUP($U$26,'TAR FIN'!$A$1:$O$86,15,0)),0,VLOOKUP($U$26,'TAR FIN'!$A$1:$O$86,15,0))</f>
        <v>79.12</v>
      </c>
      <c r="Y26" s="6"/>
      <c r="Z26" s="6">
        <f ca="1">('TUSD BE'!$AM$22+'TUSD BF'!$AM$22+'TUSD CVA'!$AM$22-('TUSD BE'!$P$22+'TUSD BF'!$P$22+'TUSD CVA'!$P$22)-('TUSD BE'!$Q$22+'TUSD BF'!$Q$22+'TUSD CVA'!$Q$22)-('TUSD BE'!$R$22+'TUSD BF'!$R$22+'TUSD CVA'!$R$22))*(1-CUSTOS!$M$35)</f>
        <v>338.04953467167542</v>
      </c>
      <c r="AA26" s="6">
        <f>('TE BE'!$AB$13+'TE BF'!$AB$13+'TE CVA'!$AB$13)*(1-CUSTOS!$M$35)</f>
        <v>69.85708655485459</v>
      </c>
      <c r="AB26" s="6">
        <f t="shared" si="0"/>
        <v>0</v>
      </c>
      <c r="AC26" s="6">
        <f>(L26-M26)*(W26+X26)+($W$40+$X$40-$W$26-$X$26)*(L26)</f>
        <v>9995.0800999999992</v>
      </c>
      <c r="AD26" s="6">
        <f t="shared" si="1"/>
        <v>0</v>
      </c>
      <c r="AE26" s="6">
        <f ca="1">(L26-M26)*(Z26+AA26)+($Z$40+$AA$40-$Z$26-$AA$26)*(L26)</f>
        <v>10964.258040821645</v>
      </c>
      <c r="AF26" s="4" t="s">
        <v>597</v>
      </c>
    </row>
    <row r="27" spans="1:32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31</v>
      </c>
      <c r="F27" s="4" t="s">
        <v>25</v>
      </c>
      <c r="G27" s="4" t="s">
        <v>25</v>
      </c>
      <c r="H27" s="4" t="s">
        <v>25</v>
      </c>
      <c r="I27" s="5">
        <v>44378</v>
      </c>
      <c r="J27" s="6">
        <v>0</v>
      </c>
      <c r="K27" s="6">
        <v>0</v>
      </c>
      <c r="L27" s="6">
        <v>8.4429999999999996</v>
      </c>
      <c r="M27" s="6">
        <v>8.4429999999999996</v>
      </c>
      <c r="N27" s="6">
        <v>8.4429999999999996</v>
      </c>
      <c r="O27" s="6">
        <v>8.4429999999999996</v>
      </c>
      <c r="P27" s="6">
        <v>70</v>
      </c>
      <c r="Q27" s="4" t="s">
        <v>26</v>
      </c>
      <c r="R27" s="4">
        <v>0</v>
      </c>
      <c r="S27" s="4">
        <v>0</v>
      </c>
      <c r="T27" s="4">
        <v>4</v>
      </c>
      <c r="U27" s="4">
        <v>60</v>
      </c>
      <c r="V27" s="6">
        <f>IF(ISERROR(VLOOKUP($S$27,'TAR FIN'!$A$1:$O$86,15,0)),0,VLOOKUP($S$27,'TAR FIN'!$A$1:$O$86,15,0))</f>
        <v>0</v>
      </c>
      <c r="W27" s="6">
        <f>IF(ISERROR(VLOOKUP($T$27,'TAR FIN'!$A$1:$O$86,15,0)),0,VLOOKUP($T$27,'TAR FIN'!$A$1:$O$86,15,0))</f>
        <v>439.1</v>
      </c>
      <c r="X27" s="6">
        <f>IF(ISERROR(VLOOKUP($U$27,'TAR FIN'!$A$1:$O$86,15,0)),0,VLOOKUP($U$27,'TAR FIN'!$A$1:$O$86,15,0))</f>
        <v>118.68</v>
      </c>
      <c r="Y27" s="6"/>
      <c r="Z27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27" s="6">
        <f>('TE BE'!$AB$14+'TE BF'!$AB$14+'TE CVA'!$AB$14)*(1-CUSTOS!$M$36)</f>
        <v>104.78562983228188</v>
      </c>
      <c r="AB27" s="6">
        <f t="shared" si="0"/>
        <v>0</v>
      </c>
      <c r="AC27" s="6">
        <f>(L27-M27)*(W27+X27)+($W$40+$X$40-$W$27-$X$27)*(L27)</f>
        <v>523.29713999999967</v>
      </c>
      <c r="AD27" s="6">
        <f t="shared" si="1"/>
        <v>0</v>
      </c>
      <c r="AE27" s="6">
        <f ca="1">(L27-M27)*(Z27+AA27)+($Z$40+$AA$40-$Z$27-$AA$27)*(L27)</f>
        <v>573.99260050259875</v>
      </c>
      <c r="AF27" s="4" t="s">
        <v>597</v>
      </c>
    </row>
    <row r="28" spans="1:32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31</v>
      </c>
      <c r="F28" s="4" t="s">
        <v>25</v>
      </c>
      <c r="G28" s="4" t="s">
        <v>25</v>
      </c>
      <c r="H28" s="4" t="s">
        <v>25</v>
      </c>
      <c r="I28" s="5">
        <v>44409</v>
      </c>
      <c r="J28" s="6">
        <v>0</v>
      </c>
      <c r="K28" s="6">
        <v>0</v>
      </c>
      <c r="L28" s="6">
        <v>9.3889999999999993</v>
      </c>
      <c r="M28" s="6">
        <v>9.3889999999999993</v>
      </c>
      <c r="N28" s="6">
        <v>9.3889999999999993</v>
      </c>
      <c r="O28" s="6">
        <v>9.3889999999999993</v>
      </c>
      <c r="P28" s="6">
        <v>72</v>
      </c>
      <c r="Q28" s="4" t="s">
        <v>26</v>
      </c>
      <c r="R28" s="4">
        <v>0</v>
      </c>
      <c r="S28" s="4">
        <v>0</v>
      </c>
      <c r="T28" s="4">
        <v>4</v>
      </c>
      <c r="U28" s="4">
        <v>60</v>
      </c>
      <c r="V28" s="6">
        <f>IF(ISERROR(VLOOKUP($S$28,'TAR FIN'!$A$1:$O$86,15,0)),0,VLOOKUP($S$28,'TAR FIN'!$A$1:$O$86,15,0))</f>
        <v>0</v>
      </c>
      <c r="W28" s="6">
        <f>IF(ISERROR(VLOOKUP($T$28,'TAR FIN'!$A$1:$O$86,15,0)),0,VLOOKUP($T$28,'TAR FIN'!$A$1:$O$86,15,0))</f>
        <v>439.1</v>
      </c>
      <c r="X28" s="6">
        <f>IF(ISERROR(VLOOKUP($U$28,'TAR FIN'!$A$1:$O$86,15,0)),0,VLOOKUP($U$28,'TAR FIN'!$A$1:$O$86,15,0))</f>
        <v>118.68</v>
      </c>
      <c r="Y28" s="6"/>
      <c r="Z28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28" s="6">
        <f>('TE BE'!$AB$14+'TE BF'!$AB$14+'TE CVA'!$AB$14)*(1-CUSTOS!$M$36)</f>
        <v>104.78562983228188</v>
      </c>
      <c r="AB28" s="6">
        <f t="shared" si="0"/>
        <v>0</v>
      </c>
      <c r="AC28" s="6">
        <f>(L28-M28)*(W28+X28)+($W$40+$X$40-$W$28-$X$28)*(L28)</f>
        <v>581.93021999999962</v>
      </c>
      <c r="AD28" s="6">
        <f t="shared" si="1"/>
        <v>0</v>
      </c>
      <c r="AE28" s="6">
        <f ca="1">(L28-M28)*(Z28+AA28)+($Z$40+$AA$40-$Z$28-$AA$28)*(L28)</f>
        <v>638.30587778264828</v>
      </c>
      <c r="AF28" s="4" t="s">
        <v>597</v>
      </c>
    </row>
    <row r="29" spans="1:32" ht="11.25" customHeight="1" x14ac:dyDescent="0.25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31</v>
      </c>
      <c r="F29" s="4" t="s">
        <v>25</v>
      </c>
      <c r="G29" s="4" t="s">
        <v>25</v>
      </c>
      <c r="H29" s="4" t="s">
        <v>25</v>
      </c>
      <c r="I29" s="5">
        <v>44440</v>
      </c>
      <c r="J29" s="6">
        <v>0</v>
      </c>
      <c r="K29" s="6">
        <v>0</v>
      </c>
      <c r="L29" s="6">
        <v>8.8919999999999995</v>
      </c>
      <c r="M29" s="6">
        <v>8.8919999999999995</v>
      </c>
      <c r="N29" s="6">
        <v>8.8919999999999995</v>
      </c>
      <c r="O29" s="6">
        <v>8.8919999999999995</v>
      </c>
      <c r="P29" s="6">
        <v>70</v>
      </c>
      <c r="Q29" s="4" t="s">
        <v>26</v>
      </c>
      <c r="R29" s="4">
        <v>0</v>
      </c>
      <c r="S29" s="4">
        <v>0</v>
      </c>
      <c r="T29" s="4">
        <v>4</v>
      </c>
      <c r="U29" s="4">
        <v>60</v>
      </c>
      <c r="V29" s="6">
        <f>IF(ISERROR(VLOOKUP($S$29,'TAR FIN'!$A$1:$O$86,15,0)),0,VLOOKUP($S$29,'TAR FIN'!$A$1:$O$86,15,0))</f>
        <v>0</v>
      </c>
      <c r="W29" s="6">
        <f>IF(ISERROR(VLOOKUP($T$29,'TAR FIN'!$A$1:$O$86,15,0)),0,VLOOKUP($T$29,'TAR FIN'!$A$1:$O$86,15,0))</f>
        <v>439.1</v>
      </c>
      <c r="X29" s="6">
        <f>IF(ISERROR(VLOOKUP($U$29,'TAR FIN'!$A$1:$O$86,15,0)),0,VLOOKUP($U$29,'TAR FIN'!$A$1:$O$86,15,0))</f>
        <v>118.68</v>
      </c>
      <c r="Y29" s="6"/>
      <c r="Z29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29" s="6">
        <f>('TE BE'!$AB$14+'TE BF'!$AB$14+'TE CVA'!$AB$14)*(1-CUSTOS!$M$36)</f>
        <v>104.78562983228188</v>
      </c>
      <c r="AB29" s="6">
        <f t="shared" si="0"/>
        <v>0</v>
      </c>
      <c r="AC29" s="6">
        <f>(L29-M29)*(W29+X29)+($W$40+$X$40-$W$29-$X$29)*(L29)</f>
        <v>551.12615999999957</v>
      </c>
      <c r="AD29" s="6">
        <f t="shared" si="1"/>
        <v>0</v>
      </c>
      <c r="AE29" s="6">
        <f ca="1">(L29-M29)*(Z29+AA29)+($Z$40+$AA$40-$Z$29-$AA$29)*(L29)</f>
        <v>604.51761265771745</v>
      </c>
      <c r="AF29" s="4" t="s">
        <v>597</v>
      </c>
    </row>
    <row r="30" spans="1:32" ht="11.25" customHeight="1" x14ac:dyDescent="0.25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31</v>
      </c>
      <c r="F30" s="4" t="s">
        <v>25</v>
      </c>
      <c r="G30" s="4" t="s">
        <v>25</v>
      </c>
      <c r="H30" s="4" t="s">
        <v>25</v>
      </c>
      <c r="I30" s="5">
        <v>44470</v>
      </c>
      <c r="J30" s="6">
        <v>0</v>
      </c>
      <c r="K30" s="6">
        <v>0</v>
      </c>
      <c r="L30" s="6">
        <v>10.034000000000001</v>
      </c>
      <c r="M30" s="6">
        <v>10.034000000000001</v>
      </c>
      <c r="N30" s="6">
        <v>10.034000000000001</v>
      </c>
      <c r="O30" s="6">
        <v>10.034000000000001</v>
      </c>
      <c r="P30" s="6">
        <v>78</v>
      </c>
      <c r="Q30" s="4" t="s">
        <v>26</v>
      </c>
      <c r="R30" s="4">
        <v>0</v>
      </c>
      <c r="S30" s="4">
        <v>0</v>
      </c>
      <c r="T30" s="4">
        <v>4</v>
      </c>
      <c r="U30" s="4">
        <v>60</v>
      </c>
      <c r="V30" s="6">
        <f>IF(ISERROR(VLOOKUP($S$30,'TAR FIN'!$A$1:$O$86,15,0)),0,VLOOKUP($S$30,'TAR FIN'!$A$1:$O$86,15,0))</f>
        <v>0</v>
      </c>
      <c r="W30" s="6">
        <f>IF(ISERROR(VLOOKUP($T$30,'TAR FIN'!$A$1:$O$86,15,0)),0,VLOOKUP($T$30,'TAR FIN'!$A$1:$O$86,15,0))</f>
        <v>439.1</v>
      </c>
      <c r="X30" s="6">
        <f>IF(ISERROR(VLOOKUP($U$30,'TAR FIN'!$A$1:$O$86,15,0)),0,VLOOKUP($U$30,'TAR FIN'!$A$1:$O$86,15,0))</f>
        <v>118.68</v>
      </c>
      <c r="Y30" s="6"/>
      <c r="Z30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0" s="6">
        <f>('TE BE'!$AB$14+'TE BF'!$AB$14+'TE CVA'!$AB$14)*(1-CUSTOS!$M$36)</f>
        <v>104.78562983228188</v>
      </c>
      <c r="AB30" s="6">
        <f t="shared" si="0"/>
        <v>0</v>
      </c>
      <c r="AC30" s="6">
        <f>(L30-M30)*(W30+X30)+($W$40+$X$40-$W$30-$X$30)*(L30)</f>
        <v>621.90731999999969</v>
      </c>
      <c r="AD30" s="6">
        <f t="shared" si="1"/>
        <v>0</v>
      </c>
      <c r="AE30" s="6">
        <f ca="1">(L30-M30)*(Z30+AA30)+($Z$40+$AA$40-$Z$30-$AA$30)*(L30)</f>
        <v>682.15583956450041</v>
      </c>
      <c r="AF30" s="4" t="s">
        <v>597</v>
      </c>
    </row>
    <row r="31" spans="1:32" ht="11.25" customHeight="1" x14ac:dyDescent="0.25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31</v>
      </c>
      <c r="F31" s="4" t="s">
        <v>25</v>
      </c>
      <c r="G31" s="4" t="s">
        <v>25</v>
      </c>
      <c r="H31" s="4" t="s">
        <v>25</v>
      </c>
      <c r="I31" s="5">
        <v>44501</v>
      </c>
      <c r="J31" s="6">
        <v>0</v>
      </c>
      <c r="K31" s="6">
        <v>0</v>
      </c>
      <c r="L31" s="6">
        <v>10.375999999999999</v>
      </c>
      <c r="M31" s="6">
        <v>10.375999999999999</v>
      </c>
      <c r="N31" s="6">
        <v>10.375999999999999</v>
      </c>
      <c r="O31" s="6">
        <v>10.375999999999999</v>
      </c>
      <c r="P31" s="6">
        <v>88</v>
      </c>
      <c r="Q31" s="4" t="s">
        <v>26</v>
      </c>
      <c r="R31" s="4">
        <v>0</v>
      </c>
      <c r="S31" s="4">
        <v>0</v>
      </c>
      <c r="T31" s="4">
        <v>4</v>
      </c>
      <c r="U31" s="4">
        <v>60</v>
      </c>
      <c r="V31" s="6">
        <f>IF(ISERROR(VLOOKUP($S$31,'TAR FIN'!$A$1:$O$86,15,0)),0,VLOOKUP($S$31,'TAR FIN'!$A$1:$O$86,15,0))</f>
        <v>0</v>
      </c>
      <c r="W31" s="6">
        <f>IF(ISERROR(VLOOKUP($T$31,'TAR FIN'!$A$1:$O$86,15,0)),0,VLOOKUP($T$31,'TAR FIN'!$A$1:$O$86,15,0))</f>
        <v>439.1</v>
      </c>
      <c r="X31" s="6">
        <f>IF(ISERROR(VLOOKUP($U$31,'TAR FIN'!$A$1:$O$86,15,0)),0,VLOOKUP($U$31,'TAR FIN'!$A$1:$O$86,15,0))</f>
        <v>118.68</v>
      </c>
      <c r="Y31" s="6"/>
      <c r="Z31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1" s="6">
        <f>('TE BE'!$AB$14+'TE BF'!$AB$14+'TE CVA'!$AB$14)*(1-CUSTOS!$M$36)</f>
        <v>104.78562983228188</v>
      </c>
      <c r="AB31" s="6">
        <f t="shared" si="0"/>
        <v>0</v>
      </c>
      <c r="AC31" s="6">
        <f>(L31-M31)*(W31+X31)+($W$40+$X$40-$W$31-$X$31)*(L31)</f>
        <v>643.10447999999951</v>
      </c>
      <c r="AD31" s="6">
        <f t="shared" si="1"/>
        <v>0</v>
      </c>
      <c r="AE31" s="6">
        <f ca="1">(L31-M31)*(Z31+AA31)+($Z$40+$AA$40-$Z$31-$AA$31)*(L31)</f>
        <v>705.40651697441251</v>
      </c>
      <c r="AF31" s="4" t="s">
        <v>597</v>
      </c>
    </row>
    <row r="32" spans="1:32" ht="11.25" customHeight="1" x14ac:dyDescent="0.25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31</v>
      </c>
      <c r="F32" s="4" t="s">
        <v>25</v>
      </c>
      <c r="G32" s="4" t="s">
        <v>25</v>
      </c>
      <c r="H32" s="4" t="s">
        <v>25</v>
      </c>
      <c r="I32" s="5">
        <v>44531</v>
      </c>
      <c r="J32" s="6">
        <v>0</v>
      </c>
      <c r="K32" s="6">
        <v>0</v>
      </c>
      <c r="L32" s="6">
        <v>9.7309999999999999</v>
      </c>
      <c r="M32" s="6">
        <v>9.7309999999999999</v>
      </c>
      <c r="N32" s="6">
        <v>9.7309999999999999</v>
      </c>
      <c r="O32" s="6">
        <v>9.7309999999999999</v>
      </c>
      <c r="P32" s="6">
        <v>105</v>
      </c>
      <c r="Q32" s="4" t="s">
        <v>26</v>
      </c>
      <c r="R32" s="4">
        <v>0</v>
      </c>
      <c r="S32" s="4">
        <v>0</v>
      </c>
      <c r="T32" s="4">
        <v>4</v>
      </c>
      <c r="U32" s="4">
        <v>60</v>
      </c>
      <c r="V32" s="6">
        <f>IF(ISERROR(VLOOKUP($S$32,'TAR FIN'!$A$1:$O$86,15,0)),0,VLOOKUP($S$32,'TAR FIN'!$A$1:$O$86,15,0))</f>
        <v>0</v>
      </c>
      <c r="W32" s="6">
        <f>IF(ISERROR(VLOOKUP($T$32,'TAR FIN'!$A$1:$O$86,15,0)),0,VLOOKUP($T$32,'TAR FIN'!$A$1:$O$86,15,0))</f>
        <v>439.1</v>
      </c>
      <c r="X32" s="6">
        <f>IF(ISERROR(VLOOKUP($U$32,'TAR FIN'!$A$1:$O$86,15,0)),0,VLOOKUP($U$32,'TAR FIN'!$A$1:$O$86,15,0))</f>
        <v>118.68</v>
      </c>
      <c r="Y32" s="6"/>
      <c r="Z32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2" s="6">
        <f>('TE BE'!$AB$14+'TE BF'!$AB$14+'TE CVA'!$AB$14)*(1-CUSTOS!$M$36)</f>
        <v>104.78562983228188</v>
      </c>
      <c r="AB32" s="6">
        <f t="shared" si="0"/>
        <v>0</v>
      </c>
      <c r="AC32" s="6">
        <f>(L32-M32)*(W32+X32)+($W$40+$X$40-$W$32-$X$32)*(L32)</f>
        <v>603.12737999999956</v>
      </c>
      <c r="AD32" s="6">
        <f t="shared" si="1"/>
        <v>0</v>
      </c>
      <c r="AE32" s="6">
        <f ca="1">(L32-M32)*(Z32+AA32)+($Z$40+$AA$40-$Z$32-$AA$32)*(L32)</f>
        <v>661.55655519256061</v>
      </c>
      <c r="AF32" s="4" t="s">
        <v>597</v>
      </c>
    </row>
    <row r="33" spans="1:32" ht="11.25" customHeight="1" x14ac:dyDescent="0.25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31</v>
      </c>
      <c r="F33" s="4" t="s">
        <v>25</v>
      </c>
      <c r="G33" s="4" t="s">
        <v>25</v>
      </c>
      <c r="H33" s="4" t="s">
        <v>25</v>
      </c>
      <c r="I33" s="5">
        <v>44562</v>
      </c>
      <c r="J33" s="6">
        <v>0</v>
      </c>
      <c r="K33" s="6">
        <v>0</v>
      </c>
      <c r="L33" s="6">
        <v>11.601000000000001</v>
      </c>
      <c r="M33" s="6">
        <v>11.601000000000001</v>
      </c>
      <c r="N33" s="6">
        <v>11.601000000000001</v>
      </c>
      <c r="O33" s="6">
        <v>11.601000000000001</v>
      </c>
      <c r="P33" s="6">
        <v>86</v>
      </c>
      <c r="Q33" s="4" t="s">
        <v>26</v>
      </c>
      <c r="R33" s="4">
        <v>0</v>
      </c>
      <c r="S33" s="4">
        <v>0</v>
      </c>
      <c r="T33" s="4">
        <v>4</v>
      </c>
      <c r="U33" s="4">
        <v>60</v>
      </c>
      <c r="V33" s="6">
        <f>IF(ISERROR(VLOOKUP($S$33,'TAR FIN'!$A$1:$O$86,15,0)),0,VLOOKUP($S$33,'TAR FIN'!$A$1:$O$86,15,0))</f>
        <v>0</v>
      </c>
      <c r="W33" s="6">
        <f>IF(ISERROR(VLOOKUP($T$33,'TAR FIN'!$A$1:$O$86,15,0)),0,VLOOKUP($T$33,'TAR FIN'!$A$1:$O$86,15,0))</f>
        <v>439.1</v>
      </c>
      <c r="X33" s="6">
        <f>IF(ISERROR(VLOOKUP($U$33,'TAR FIN'!$A$1:$O$86,15,0)),0,VLOOKUP($U$33,'TAR FIN'!$A$1:$O$86,15,0))</f>
        <v>118.68</v>
      </c>
      <c r="Y33" s="6"/>
      <c r="Z33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3" s="6">
        <f>('TE BE'!$AB$14+'TE BF'!$AB$14+'TE CVA'!$AB$14)*(1-CUSTOS!$M$36)</f>
        <v>104.78562983228188</v>
      </c>
      <c r="AB33" s="6">
        <f t="shared" si="0"/>
        <v>0</v>
      </c>
      <c r="AC33" s="6">
        <f>(L33-M33)*(W33+X33)+($W$40+$X$40-$W$33-$X$33)*(L33)</f>
        <v>719.02997999999957</v>
      </c>
      <c r="AD33" s="6">
        <f t="shared" si="1"/>
        <v>0</v>
      </c>
      <c r="AE33" s="6">
        <f ca="1">(L33-M33)*(Z33+AA33)+($Z$40+$AA$40-$Z$33-$AA$33)*(L33)</f>
        <v>788.68745214149578</v>
      </c>
      <c r="AF33" s="4" t="s">
        <v>597</v>
      </c>
    </row>
    <row r="34" spans="1:32" ht="11.25" customHeight="1" x14ac:dyDescent="0.25">
      <c r="A34" s="4" t="s">
        <v>27</v>
      </c>
      <c r="B34" s="4" t="s">
        <v>22</v>
      </c>
      <c r="C34" s="4" t="s">
        <v>23</v>
      </c>
      <c r="D34" s="4" t="s">
        <v>24</v>
      </c>
      <c r="E34" s="4" t="s">
        <v>31</v>
      </c>
      <c r="F34" s="4" t="s">
        <v>25</v>
      </c>
      <c r="G34" s="4" t="s">
        <v>25</v>
      </c>
      <c r="H34" s="4" t="s">
        <v>25</v>
      </c>
      <c r="I34" s="5">
        <v>44562</v>
      </c>
      <c r="J34" s="6">
        <v>0</v>
      </c>
      <c r="K34" s="6">
        <v>0</v>
      </c>
      <c r="L34" s="6">
        <v>0.02</v>
      </c>
      <c r="M34" s="6">
        <v>0.02</v>
      </c>
      <c r="N34" s="6">
        <v>0.02</v>
      </c>
      <c r="O34" s="6">
        <v>0.02</v>
      </c>
      <c r="P34" s="6">
        <v>0</v>
      </c>
      <c r="Q34" s="4" t="s">
        <v>26</v>
      </c>
      <c r="R34" s="4">
        <v>0</v>
      </c>
      <c r="S34" s="4">
        <v>0</v>
      </c>
      <c r="T34" s="4">
        <v>4</v>
      </c>
      <c r="U34" s="4">
        <v>60</v>
      </c>
      <c r="V34" s="6">
        <f>IF(ISERROR(VLOOKUP($S$34,'TAR FIN'!$A$1:$O$86,15,0)),0,VLOOKUP($S$34,'TAR FIN'!$A$1:$O$86,15,0))</f>
        <v>0</v>
      </c>
      <c r="W34" s="6">
        <f>IF(ISERROR(VLOOKUP($T$34,'TAR FIN'!$A$1:$O$86,15,0)),0,VLOOKUP($T$34,'TAR FIN'!$A$1:$O$86,15,0))</f>
        <v>439.1</v>
      </c>
      <c r="X34" s="6">
        <f>IF(ISERROR(VLOOKUP($U$34,'TAR FIN'!$A$1:$O$86,15,0)),0,VLOOKUP($U$34,'TAR FIN'!$A$1:$O$86,15,0))</f>
        <v>118.68</v>
      </c>
      <c r="Y34" s="6"/>
      <c r="Z34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4" s="6">
        <f>('TE BE'!$AB$14+'TE BF'!$AB$14+'TE CVA'!$AB$14)*(1-CUSTOS!$M$36)</f>
        <v>104.78562983228188</v>
      </c>
      <c r="AB34" s="6">
        <f t="shared" ref="AB34:AB65" si="4">(J34-K34)*V34</f>
        <v>0</v>
      </c>
      <c r="AC34" s="6">
        <f>(L34-M34)*(W34+X34)+($W$40+$X$40-$W$34-$X$34)*(L34)</f>
        <v>1.2395999999999991</v>
      </c>
      <c r="AD34" s="6">
        <f t="shared" ref="AD34:AD65" si="5">(J34-K34)*Y34</f>
        <v>0</v>
      </c>
      <c r="AE34" s="6">
        <f ca="1">(L34-M34)*(Z34+AA34)+($Z$40+$AA$40-$Z$34-$AA$34)*(L34)</f>
        <v>1.3596887374217668</v>
      </c>
      <c r="AF34" s="4" t="s">
        <v>597</v>
      </c>
    </row>
    <row r="35" spans="1:32" ht="11.25" customHeight="1" x14ac:dyDescent="0.25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31</v>
      </c>
      <c r="F35" s="4" t="s">
        <v>25</v>
      </c>
      <c r="G35" s="4" t="s">
        <v>25</v>
      </c>
      <c r="H35" s="4" t="s">
        <v>25</v>
      </c>
      <c r="I35" s="5">
        <v>44593</v>
      </c>
      <c r="J35" s="6">
        <v>0</v>
      </c>
      <c r="K35" s="6">
        <v>0</v>
      </c>
      <c r="L35" s="6">
        <v>13.962</v>
      </c>
      <c r="M35" s="6">
        <v>13.962</v>
      </c>
      <c r="N35" s="6">
        <v>13.962</v>
      </c>
      <c r="O35" s="6">
        <v>13.962</v>
      </c>
      <c r="P35" s="6">
        <v>133</v>
      </c>
      <c r="Q35" s="4" t="s">
        <v>26</v>
      </c>
      <c r="R35" s="4">
        <v>0</v>
      </c>
      <c r="S35" s="4">
        <v>0</v>
      </c>
      <c r="T35" s="4">
        <v>4</v>
      </c>
      <c r="U35" s="4">
        <v>60</v>
      </c>
      <c r="V35" s="6">
        <f>IF(ISERROR(VLOOKUP($S$35,'TAR FIN'!$A$1:$O$86,15,0)),0,VLOOKUP($S$35,'TAR FIN'!$A$1:$O$86,15,0))</f>
        <v>0</v>
      </c>
      <c r="W35" s="6">
        <f>IF(ISERROR(VLOOKUP($T$35,'TAR FIN'!$A$1:$O$86,15,0)),0,VLOOKUP($T$35,'TAR FIN'!$A$1:$O$86,15,0))</f>
        <v>439.1</v>
      </c>
      <c r="X35" s="6">
        <f>IF(ISERROR(VLOOKUP($U$35,'TAR FIN'!$A$1:$O$86,15,0)),0,VLOOKUP($U$35,'TAR FIN'!$A$1:$O$86,15,0))</f>
        <v>118.68</v>
      </c>
      <c r="Y35" s="6"/>
      <c r="Z35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5" s="6">
        <f>('TE BE'!$AB$14+'TE BF'!$AB$14+'TE CVA'!$AB$14)*(1-CUSTOS!$M$36)</f>
        <v>104.78562983228188</v>
      </c>
      <c r="AB35" s="6">
        <f t="shared" si="4"/>
        <v>0</v>
      </c>
      <c r="AC35" s="6">
        <f>(L35-M35)*(W35+X35)+($W$40+$X$40-$W$35-$X$35)*(L35)</f>
        <v>865.36475999999948</v>
      </c>
      <c r="AD35" s="6">
        <f t="shared" si="5"/>
        <v>0</v>
      </c>
      <c r="AE35" s="6">
        <f ca="1">(L35-M35)*(Z35+AA35)+($Z$40+$AA$40-$Z$35-$AA$35)*(L35)</f>
        <v>949.19870759413527</v>
      </c>
      <c r="AF35" s="4" t="s">
        <v>597</v>
      </c>
    </row>
    <row r="36" spans="1:32" ht="11.25" customHeight="1" x14ac:dyDescent="0.25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31</v>
      </c>
      <c r="F36" s="4" t="s">
        <v>25</v>
      </c>
      <c r="G36" s="4" t="s">
        <v>25</v>
      </c>
      <c r="H36" s="4" t="s">
        <v>25</v>
      </c>
      <c r="I36" s="5">
        <v>44621</v>
      </c>
      <c r="J36" s="6">
        <v>0</v>
      </c>
      <c r="K36" s="6">
        <v>0</v>
      </c>
      <c r="L36" s="6">
        <v>21.436</v>
      </c>
      <c r="M36" s="6">
        <v>21.436</v>
      </c>
      <c r="N36" s="6">
        <v>21.436</v>
      </c>
      <c r="O36" s="6">
        <v>21.436</v>
      </c>
      <c r="P36" s="6">
        <v>232</v>
      </c>
      <c r="Q36" s="4" t="s">
        <v>26</v>
      </c>
      <c r="R36" s="4">
        <v>0</v>
      </c>
      <c r="S36" s="4">
        <v>0</v>
      </c>
      <c r="T36" s="4">
        <v>4</v>
      </c>
      <c r="U36" s="4">
        <v>60</v>
      </c>
      <c r="V36" s="6">
        <f>IF(ISERROR(VLOOKUP($S$36,'TAR FIN'!$A$1:$O$86,15,0)),0,VLOOKUP($S$36,'TAR FIN'!$A$1:$O$86,15,0))</f>
        <v>0</v>
      </c>
      <c r="W36" s="6">
        <f>IF(ISERROR(VLOOKUP($T$36,'TAR FIN'!$A$1:$O$86,15,0)),0,VLOOKUP($T$36,'TAR FIN'!$A$1:$O$86,15,0))</f>
        <v>439.1</v>
      </c>
      <c r="X36" s="6">
        <f>IF(ISERROR(VLOOKUP($U$36,'TAR FIN'!$A$1:$O$86,15,0)),0,VLOOKUP($U$36,'TAR FIN'!$A$1:$O$86,15,0))</f>
        <v>118.68</v>
      </c>
      <c r="Y36" s="6"/>
      <c r="Z36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6" s="6">
        <f>('TE BE'!$AB$14+'TE BF'!$AB$14+'TE CVA'!$AB$14)*(1-CUSTOS!$M$36)</f>
        <v>104.78562983228188</v>
      </c>
      <c r="AB36" s="6">
        <f t="shared" si="4"/>
        <v>0</v>
      </c>
      <c r="AC36" s="6">
        <f>(L36-M36)*(W36+X36)+($W$40+$X$40-$W$36-$X$36)*(L36)</f>
        <v>1328.6032799999991</v>
      </c>
      <c r="AD36" s="6">
        <f t="shared" si="5"/>
        <v>0</v>
      </c>
      <c r="AE36" s="6">
        <f ca="1">(L36-M36)*(Z36+AA36)+($Z$40+$AA$40-$Z$36-$AA$36)*(L36)</f>
        <v>1457.3143887686495</v>
      </c>
      <c r="AF36" s="4" t="s">
        <v>597</v>
      </c>
    </row>
    <row r="37" spans="1:32" ht="11.25" customHeight="1" x14ac:dyDescent="0.25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31</v>
      </c>
      <c r="F37" s="4" t="s">
        <v>25</v>
      </c>
      <c r="G37" s="4" t="s">
        <v>25</v>
      </c>
      <c r="H37" s="4" t="s">
        <v>25</v>
      </c>
      <c r="I37" s="5">
        <v>44652</v>
      </c>
      <c r="J37" s="6">
        <v>0</v>
      </c>
      <c r="K37" s="6">
        <v>0</v>
      </c>
      <c r="L37" s="6">
        <v>33.137999999999998</v>
      </c>
      <c r="M37" s="6">
        <v>33.137999999999998</v>
      </c>
      <c r="N37" s="6">
        <v>33.137999999999998</v>
      </c>
      <c r="O37" s="6">
        <v>33.137999999999998</v>
      </c>
      <c r="P37" s="6">
        <v>309</v>
      </c>
      <c r="Q37" s="4" t="s">
        <v>26</v>
      </c>
      <c r="R37" s="4">
        <v>0</v>
      </c>
      <c r="S37" s="4">
        <v>0</v>
      </c>
      <c r="T37" s="4">
        <v>4</v>
      </c>
      <c r="U37" s="4">
        <v>60</v>
      </c>
      <c r="V37" s="6">
        <f>IF(ISERROR(VLOOKUP($S$37,'TAR FIN'!$A$1:$O$86,15,0)),0,VLOOKUP($S$37,'TAR FIN'!$A$1:$O$86,15,0))</f>
        <v>0</v>
      </c>
      <c r="W37" s="6">
        <f>IF(ISERROR(VLOOKUP($T$37,'TAR FIN'!$A$1:$O$86,15,0)),0,VLOOKUP($T$37,'TAR FIN'!$A$1:$O$86,15,0))</f>
        <v>439.1</v>
      </c>
      <c r="X37" s="6">
        <f>IF(ISERROR(VLOOKUP($U$37,'TAR FIN'!$A$1:$O$86,15,0)),0,VLOOKUP($U$37,'TAR FIN'!$A$1:$O$86,15,0))</f>
        <v>118.68</v>
      </c>
      <c r="Y37" s="6"/>
      <c r="Z37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7" s="6">
        <f>('TE BE'!$AB$14+'TE BF'!$AB$14+'TE CVA'!$AB$14)*(1-CUSTOS!$M$36)</f>
        <v>104.78562983228188</v>
      </c>
      <c r="AB37" s="6">
        <f t="shared" si="4"/>
        <v>0</v>
      </c>
      <c r="AC37" s="6">
        <f>(L37-M37)*(W37+X37)+($W$40+$X$40-$W$37-$X$37)*(L37)</f>
        <v>2053.8932399999985</v>
      </c>
      <c r="AD37" s="6">
        <f t="shared" si="5"/>
        <v>0</v>
      </c>
      <c r="AE37" s="6">
        <f ca="1">(L37-M37)*(Z37+AA37)+($Z$40+$AA$40-$Z$37-$AA$37)*(L37)</f>
        <v>2252.8682690341252</v>
      </c>
      <c r="AF37" s="4" t="s">
        <v>597</v>
      </c>
    </row>
    <row r="38" spans="1:32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31</v>
      </c>
      <c r="F38" s="4" t="s">
        <v>25</v>
      </c>
      <c r="G38" s="4" t="s">
        <v>25</v>
      </c>
      <c r="H38" s="4" t="s">
        <v>25</v>
      </c>
      <c r="I38" s="5">
        <v>44682</v>
      </c>
      <c r="J38" s="6">
        <v>0</v>
      </c>
      <c r="K38" s="6">
        <v>0</v>
      </c>
      <c r="L38" s="6">
        <v>32.121000000000002</v>
      </c>
      <c r="M38" s="6">
        <v>32.121000000000002</v>
      </c>
      <c r="N38" s="6">
        <v>32.121000000000002</v>
      </c>
      <c r="O38" s="6">
        <v>32.121000000000002</v>
      </c>
      <c r="P38" s="6">
        <v>333</v>
      </c>
      <c r="Q38" s="4" t="s">
        <v>26</v>
      </c>
      <c r="R38" s="4">
        <v>0</v>
      </c>
      <c r="S38" s="4">
        <v>0</v>
      </c>
      <c r="T38" s="4">
        <v>4</v>
      </c>
      <c r="U38" s="4">
        <v>60</v>
      </c>
      <c r="V38" s="6">
        <f>IF(ISERROR(VLOOKUP($S$38,'TAR FIN'!$A$1:$O$86,15,0)),0,VLOOKUP($S$38,'TAR FIN'!$A$1:$O$86,15,0))</f>
        <v>0</v>
      </c>
      <c r="W38" s="6">
        <f>IF(ISERROR(VLOOKUP($T$38,'TAR FIN'!$A$1:$O$86,15,0)),0,VLOOKUP($T$38,'TAR FIN'!$A$1:$O$86,15,0))</f>
        <v>439.1</v>
      </c>
      <c r="X38" s="6">
        <f>IF(ISERROR(VLOOKUP($U$38,'TAR FIN'!$A$1:$O$86,15,0)),0,VLOOKUP($U$38,'TAR FIN'!$A$1:$O$86,15,0))</f>
        <v>118.68</v>
      </c>
      <c r="Y38" s="6"/>
      <c r="Z38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8" s="6">
        <f>('TE BE'!$AB$14+'TE BF'!$AB$14+'TE CVA'!$AB$14)*(1-CUSTOS!$M$36)</f>
        <v>104.78562983228188</v>
      </c>
      <c r="AB38" s="6">
        <f t="shared" si="4"/>
        <v>0</v>
      </c>
      <c r="AC38" s="6">
        <f>(L38-M38)*(W38+X38)+($W$40+$X$40-$W$38-$X$38)*(L38)</f>
        <v>1990.8595799999989</v>
      </c>
      <c r="AD38" s="6">
        <f t="shared" si="5"/>
        <v>0</v>
      </c>
      <c r="AE38" s="6">
        <f ca="1">(L38-M38)*(Z38+AA38)+($Z$40+$AA$40-$Z$38-$AA$38)*(L38)</f>
        <v>2183.7280967362285</v>
      </c>
      <c r="AF38" s="4" t="s">
        <v>597</v>
      </c>
    </row>
    <row r="39" spans="1:32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31</v>
      </c>
      <c r="F39" s="4" t="s">
        <v>25</v>
      </c>
      <c r="G39" s="4" t="s">
        <v>25</v>
      </c>
      <c r="H39" s="4" t="s">
        <v>25</v>
      </c>
      <c r="I39" s="5">
        <v>44713</v>
      </c>
      <c r="J39" s="6">
        <v>0</v>
      </c>
      <c r="K39" s="6">
        <v>0</v>
      </c>
      <c r="L39" s="6">
        <v>36.084000000000003</v>
      </c>
      <c r="M39" s="6">
        <v>36.084000000000003</v>
      </c>
      <c r="N39" s="6">
        <v>36.084000000000003</v>
      </c>
      <c r="O39" s="6">
        <v>36.084000000000003</v>
      </c>
      <c r="P39" s="6">
        <v>329</v>
      </c>
      <c r="Q39" s="4" t="s">
        <v>26</v>
      </c>
      <c r="R39" s="4">
        <v>0</v>
      </c>
      <c r="S39" s="4">
        <v>0</v>
      </c>
      <c r="T39" s="4">
        <v>4</v>
      </c>
      <c r="U39" s="4">
        <v>60</v>
      </c>
      <c r="V39" s="6">
        <f>IF(ISERROR(VLOOKUP($S$39,'TAR FIN'!$A$1:$O$86,15,0)),0,VLOOKUP($S$39,'TAR FIN'!$A$1:$O$86,15,0))</f>
        <v>0</v>
      </c>
      <c r="W39" s="6">
        <f>IF(ISERROR(VLOOKUP($T$39,'TAR FIN'!$A$1:$O$86,15,0)),0,VLOOKUP($T$39,'TAR FIN'!$A$1:$O$86,15,0))</f>
        <v>439.1</v>
      </c>
      <c r="X39" s="6">
        <f>IF(ISERROR(VLOOKUP($U$39,'TAR FIN'!$A$1:$O$86,15,0)),0,VLOOKUP($U$39,'TAR FIN'!$A$1:$O$86,15,0))</f>
        <v>118.68</v>
      </c>
      <c r="Y39" s="6"/>
      <c r="Z39" s="6">
        <f ca="1">('TUSD BE'!$AM$23+'TUSD BF'!$AM$23+'TUSD CVA'!$AM$23-('TUSD BE'!$P$23+'TUSD BF'!$P$23+'TUSD CVA'!$P$23)-('TUSD BE'!$Q$23+'TUSD BF'!$Q$23+'TUSD CVA'!$Q$23)-('TUSD BE'!$R$23+'TUSD BF'!$R$23+'TUSD CVA'!$R$23))*(1-CUSTOS!$M$36)</f>
        <v>507.07430200751315</v>
      </c>
      <c r="AA39" s="6">
        <f>('TE BE'!$AB$14+'TE BF'!$AB$14+'TE CVA'!$AB$14)*(1-CUSTOS!$M$36)</f>
        <v>104.78562983228188</v>
      </c>
      <c r="AB39" s="6">
        <f t="shared" si="4"/>
        <v>0</v>
      </c>
      <c r="AC39" s="6">
        <f>(L39-M39)*(W39+X39)+($W$40+$X$40-$W$39-$X$39)*(L39)</f>
        <v>2236.4863199999986</v>
      </c>
      <c r="AD39" s="6">
        <f t="shared" si="5"/>
        <v>0</v>
      </c>
      <c r="AE39" s="6">
        <f ca="1">(L39-M39)*(Z39+AA39)+($Z$40+$AA$40-$Z$39-$AA$39)*(L39)</f>
        <v>2453.1504200563518</v>
      </c>
      <c r="AF39" s="4" t="s">
        <v>597</v>
      </c>
    </row>
    <row r="40" spans="1:32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32</v>
      </c>
      <c r="F40" s="4" t="s">
        <v>25</v>
      </c>
      <c r="G40" s="4" t="s">
        <v>25</v>
      </c>
      <c r="H40" s="4" t="s">
        <v>25</v>
      </c>
      <c r="I40" s="5">
        <v>44378</v>
      </c>
      <c r="J40" s="6">
        <v>0</v>
      </c>
      <c r="K40" s="6">
        <v>0</v>
      </c>
      <c r="L40" s="6">
        <v>2.835</v>
      </c>
      <c r="M40" s="6">
        <v>2.835</v>
      </c>
      <c r="N40" s="6">
        <v>2.835</v>
      </c>
      <c r="O40" s="6">
        <v>2.835</v>
      </c>
      <c r="P40" s="6">
        <v>39</v>
      </c>
      <c r="Q40" s="4" t="s">
        <v>26</v>
      </c>
      <c r="R40" s="4">
        <v>0</v>
      </c>
      <c r="S40" s="4">
        <v>0</v>
      </c>
      <c r="T40" s="4">
        <v>43</v>
      </c>
      <c r="U40" s="4">
        <v>66</v>
      </c>
      <c r="V40" s="6">
        <f>IF(ISERROR(VLOOKUP($S$40,'TAR FIN'!$A$1:$O$86,15,0)),0,VLOOKUP($S$40,'TAR FIN'!$A$1:$O$86,15,0))</f>
        <v>0</v>
      </c>
      <c r="W40" s="6">
        <f>IF(ISERROR(VLOOKUP($T$40,'TAR FIN'!$A$1:$O$86,15,0)),0,VLOOKUP($T$40,'TAR FIN'!$A$1:$O$86,15,0))</f>
        <v>487.89</v>
      </c>
      <c r="X40" s="6">
        <f>IF(ISERROR(VLOOKUP($U$40,'TAR FIN'!$A$1:$O$86,15,0)),0,VLOOKUP($U$40,'TAR FIN'!$A$1:$O$86,15,0))</f>
        <v>131.87</v>
      </c>
      <c r="Y40" s="6"/>
      <c r="Z40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0" s="6">
        <f>('TE BE'!$AB$15+'TE BF'!$AB$15+'TE CVA'!$AB$15)*(1-CUSTOS!$M$37)</f>
        <v>116.42847759142431</v>
      </c>
      <c r="AB40" s="6">
        <f t="shared" si="4"/>
        <v>0</v>
      </c>
      <c r="AC40" s="6">
        <f>(L40-M40)*(W40+X40)+($W$40+$X$40-$W$40-$X$40)*(L40)</f>
        <v>0</v>
      </c>
      <c r="AD40" s="6">
        <f t="shared" si="5"/>
        <v>0</v>
      </c>
      <c r="AE40" s="6">
        <f ca="1">(L40-M40)*(Z40+AA40)+($Z$40+$AA$40-$Z$40-$AA$40)*(L40)</f>
        <v>4.028777311759768E-14</v>
      </c>
      <c r="AF40" s="4" t="s">
        <v>597</v>
      </c>
    </row>
    <row r="41" spans="1:32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32</v>
      </c>
      <c r="F41" s="4" t="s">
        <v>25</v>
      </c>
      <c r="G41" s="4" t="s">
        <v>25</v>
      </c>
      <c r="H41" s="4" t="s">
        <v>25</v>
      </c>
      <c r="I41" s="5">
        <v>44409</v>
      </c>
      <c r="J41" s="6">
        <v>0</v>
      </c>
      <c r="K41" s="6">
        <v>0</v>
      </c>
      <c r="L41" s="6">
        <v>3.5529999999999999</v>
      </c>
      <c r="M41" s="6">
        <v>3.5529999999999999</v>
      </c>
      <c r="N41" s="6">
        <v>3.5529999999999999</v>
      </c>
      <c r="O41" s="6">
        <v>3.5529999999999999</v>
      </c>
      <c r="P41" s="6">
        <v>44</v>
      </c>
      <c r="Q41" s="4" t="s">
        <v>26</v>
      </c>
      <c r="R41" s="4">
        <v>0</v>
      </c>
      <c r="S41" s="4">
        <v>0</v>
      </c>
      <c r="T41" s="4">
        <v>43</v>
      </c>
      <c r="U41" s="4">
        <v>66</v>
      </c>
      <c r="V41" s="6">
        <f>IF(ISERROR(VLOOKUP($S$41,'TAR FIN'!$A$1:$O$86,15,0)),0,VLOOKUP($S$41,'TAR FIN'!$A$1:$O$86,15,0))</f>
        <v>0</v>
      </c>
      <c r="W41" s="6">
        <f>IF(ISERROR(VLOOKUP($T$41,'TAR FIN'!$A$1:$O$86,15,0)),0,VLOOKUP($T$41,'TAR FIN'!$A$1:$O$86,15,0))</f>
        <v>487.89</v>
      </c>
      <c r="X41" s="6">
        <f>IF(ISERROR(VLOOKUP($U$41,'TAR FIN'!$A$1:$O$86,15,0)),0,VLOOKUP($U$41,'TAR FIN'!$A$1:$O$86,15,0))</f>
        <v>131.87</v>
      </c>
      <c r="Y41" s="6"/>
      <c r="Z41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1" s="6">
        <f>('TE BE'!$AB$15+'TE BF'!$AB$15+'TE CVA'!$AB$15)*(1-CUSTOS!$M$37)</f>
        <v>116.42847759142431</v>
      </c>
      <c r="AB41" s="6">
        <f t="shared" si="4"/>
        <v>0</v>
      </c>
      <c r="AC41" s="6">
        <f>(L41-M41)*(W41+X41)+($W$40+$X$40-$W$41-$X$41)*(L41)</f>
        <v>0</v>
      </c>
      <c r="AD41" s="6">
        <f t="shared" si="5"/>
        <v>0</v>
      </c>
      <c r="AE41" s="6">
        <f ca="1">(L41-M41)*(Z41+AA41)+($Z$40+$AA$40-$Z$41-$AA$41)*(L41)</f>
        <v>5.0491166803112718E-14</v>
      </c>
      <c r="AF41" s="4" t="s">
        <v>597</v>
      </c>
    </row>
    <row r="42" spans="1:32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32</v>
      </c>
      <c r="F42" s="4" t="s">
        <v>25</v>
      </c>
      <c r="G42" s="4" t="s">
        <v>25</v>
      </c>
      <c r="H42" s="4" t="s">
        <v>25</v>
      </c>
      <c r="I42" s="5">
        <v>44440</v>
      </c>
      <c r="J42" s="6">
        <v>0</v>
      </c>
      <c r="K42" s="6">
        <v>0</v>
      </c>
      <c r="L42" s="6">
        <v>2.9350000000000001</v>
      </c>
      <c r="M42" s="6">
        <v>2.9350000000000001</v>
      </c>
      <c r="N42" s="6">
        <v>2.9350000000000001</v>
      </c>
      <c r="O42" s="6">
        <v>2.9350000000000001</v>
      </c>
      <c r="P42" s="6">
        <v>41</v>
      </c>
      <c r="Q42" s="4" t="s">
        <v>26</v>
      </c>
      <c r="R42" s="4">
        <v>0</v>
      </c>
      <c r="S42" s="4">
        <v>0</v>
      </c>
      <c r="T42" s="4">
        <v>43</v>
      </c>
      <c r="U42" s="4">
        <v>66</v>
      </c>
      <c r="V42" s="6">
        <f>IF(ISERROR(VLOOKUP($S$42,'TAR FIN'!$A$1:$O$86,15,0)),0,VLOOKUP($S$42,'TAR FIN'!$A$1:$O$86,15,0))</f>
        <v>0</v>
      </c>
      <c r="W42" s="6">
        <f>IF(ISERROR(VLOOKUP($T$42,'TAR FIN'!$A$1:$O$86,15,0)),0,VLOOKUP($T$42,'TAR FIN'!$A$1:$O$86,15,0))</f>
        <v>487.89</v>
      </c>
      <c r="X42" s="6">
        <f>IF(ISERROR(VLOOKUP($U$42,'TAR FIN'!$A$1:$O$86,15,0)),0,VLOOKUP($U$42,'TAR FIN'!$A$1:$O$86,15,0))</f>
        <v>131.87</v>
      </c>
      <c r="Y42" s="6"/>
      <c r="Z42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2" s="6">
        <f>('TE BE'!$AB$15+'TE BF'!$AB$15+'TE CVA'!$AB$15)*(1-CUSTOS!$M$37)</f>
        <v>116.42847759142431</v>
      </c>
      <c r="AB42" s="6">
        <f t="shared" si="4"/>
        <v>0</v>
      </c>
      <c r="AC42" s="6">
        <f>(L42-M42)*(W42+X42)+($W$40+$X$40-$W$42-$X$42)*(L42)</f>
        <v>0</v>
      </c>
      <c r="AD42" s="6">
        <f t="shared" si="5"/>
        <v>0</v>
      </c>
      <c r="AE42" s="6">
        <f ca="1">(L42-M42)*(Z42+AA42)+($Z$40+$AA$40-$Z$42-$AA$42)*(L42)</f>
        <v>4.1708858589117882E-14</v>
      </c>
      <c r="AF42" s="4" t="s">
        <v>597</v>
      </c>
    </row>
    <row r="43" spans="1:32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32</v>
      </c>
      <c r="F43" s="4" t="s">
        <v>25</v>
      </c>
      <c r="G43" s="4" t="s">
        <v>25</v>
      </c>
      <c r="H43" s="4" t="s">
        <v>25</v>
      </c>
      <c r="I43" s="5">
        <v>44470</v>
      </c>
      <c r="J43" s="6">
        <v>0</v>
      </c>
      <c r="K43" s="6">
        <v>0</v>
      </c>
      <c r="L43" s="6">
        <v>3.6389999999999998</v>
      </c>
      <c r="M43" s="6">
        <v>3.6389999999999998</v>
      </c>
      <c r="N43" s="6">
        <v>3.6389999999999998</v>
      </c>
      <c r="O43" s="6">
        <v>3.6389999999999998</v>
      </c>
      <c r="P43" s="6">
        <v>43</v>
      </c>
      <c r="Q43" s="4" t="s">
        <v>26</v>
      </c>
      <c r="R43" s="4">
        <v>0</v>
      </c>
      <c r="S43" s="4">
        <v>0</v>
      </c>
      <c r="T43" s="4">
        <v>43</v>
      </c>
      <c r="U43" s="4">
        <v>66</v>
      </c>
      <c r="V43" s="6">
        <f>IF(ISERROR(VLOOKUP($S$43,'TAR FIN'!$A$1:$O$86,15,0)),0,VLOOKUP($S$43,'TAR FIN'!$A$1:$O$86,15,0))</f>
        <v>0</v>
      </c>
      <c r="W43" s="6">
        <f>IF(ISERROR(VLOOKUP($T$43,'TAR FIN'!$A$1:$O$86,15,0)),0,VLOOKUP($T$43,'TAR FIN'!$A$1:$O$86,15,0))</f>
        <v>487.89</v>
      </c>
      <c r="X43" s="6">
        <f>IF(ISERROR(VLOOKUP($U$43,'TAR FIN'!$A$1:$O$86,15,0)),0,VLOOKUP($U$43,'TAR FIN'!$A$1:$O$86,15,0))</f>
        <v>131.87</v>
      </c>
      <c r="Y43" s="6"/>
      <c r="Z43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3" s="6">
        <f>('TE BE'!$AB$15+'TE BF'!$AB$15+'TE CVA'!$AB$15)*(1-CUSTOS!$M$37)</f>
        <v>116.42847759142431</v>
      </c>
      <c r="AB43" s="6">
        <f t="shared" si="4"/>
        <v>0</v>
      </c>
      <c r="AC43" s="6">
        <f>(L43-M43)*(W43+X43)+($W$40+$X$40-$W$43-$X$43)*(L43)</f>
        <v>0</v>
      </c>
      <c r="AD43" s="6">
        <f t="shared" si="5"/>
        <v>0</v>
      </c>
      <c r="AE43" s="6">
        <f ca="1">(L43-M43)*(Z43+AA43)+($Z$40+$AA$40-$Z$43-$AA$43)*(L43)</f>
        <v>5.1713300308620089E-14</v>
      </c>
      <c r="AF43" s="4" t="s">
        <v>597</v>
      </c>
    </row>
    <row r="44" spans="1:32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32</v>
      </c>
      <c r="F44" s="4" t="s">
        <v>25</v>
      </c>
      <c r="G44" s="4" t="s">
        <v>25</v>
      </c>
      <c r="H44" s="4" t="s">
        <v>25</v>
      </c>
      <c r="I44" s="5">
        <v>44501</v>
      </c>
      <c r="J44" s="6">
        <v>0</v>
      </c>
      <c r="K44" s="6">
        <v>0</v>
      </c>
      <c r="L44" s="6">
        <v>3.077</v>
      </c>
      <c r="M44" s="6">
        <v>3.077</v>
      </c>
      <c r="N44" s="6">
        <v>3.077</v>
      </c>
      <c r="O44" s="6">
        <v>3.077</v>
      </c>
      <c r="P44" s="6">
        <v>42</v>
      </c>
      <c r="Q44" s="4" t="s">
        <v>26</v>
      </c>
      <c r="R44" s="4">
        <v>0</v>
      </c>
      <c r="S44" s="4">
        <v>0</v>
      </c>
      <c r="T44" s="4">
        <v>43</v>
      </c>
      <c r="U44" s="4">
        <v>66</v>
      </c>
      <c r="V44" s="6">
        <f>IF(ISERROR(VLOOKUP($S$44,'TAR FIN'!$A$1:$O$86,15,0)),0,VLOOKUP($S$44,'TAR FIN'!$A$1:$O$86,15,0))</f>
        <v>0</v>
      </c>
      <c r="W44" s="6">
        <f>IF(ISERROR(VLOOKUP($T$44,'TAR FIN'!$A$1:$O$86,15,0)),0,VLOOKUP($T$44,'TAR FIN'!$A$1:$O$86,15,0))</f>
        <v>487.89</v>
      </c>
      <c r="X44" s="6">
        <f>IF(ISERROR(VLOOKUP($U$44,'TAR FIN'!$A$1:$O$86,15,0)),0,VLOOKUP($U$44,'TAR FIN'!$A$1:$O$86,15,0))</f>
        <v>131.87</v>
      </c>
      <c r="Y44" s="6"/>
      <c r="Z44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4" s="6">
        <f>('TE BE'!$AB$15+'TE BF'!$AB$15+'TE CVA'!$AB$15)*(1-CUSTOS!$M$37)</f>
        <v>116.42847759142431</v>
      </c>
      <c r="AB44" s="6">
        <f t="shared" si="4"/>
        <v>0</v>
      </c>
      <c r="AC44" s="6">
        <f>(L44-M44)*(W44+X44)+($W$40+$X$40-$W$44-$X$44)*(L44)</f>
        <v>0</v>
      </c>
      <c r="AD44" s="6">
        <f t="shared" si="5"/>
        <v>0</v>
      </c>
      <c r="AE44" s="6">
        <f ca="1">(L44-M44)*(Z44+AA44)+($Z$40+$AA$40-$Z$44-$AA$44)*(L44)</f>
        <v>4.3726799958676565E-14</v>
      </c>
      <c r="AF44" s="4" t="s">
        <v>597</v>
      </c>
    </row>
    <row r="45" spans="1:32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32</v>
      </c>
      <c r="F45" s="4" t="s">
        <v>25</v>
      </c>
      <c r="G45" s="4" t="s">
        <v>25</v>
      </c>
      <c r="H45" s="4" t="s">
        <v>25</v>
      </c>
      <c r="I45" s="5">
        <v>44531</v>
      </c>
      <c r="J45" s="6">
        <v>0</v>
      </c>
      <c r="K45" s="6">
        <v>0</v>
      </c>
      <c r="L45" s="6">
        <v>2.1669999999999998</v>
      </c>
      <c r="M45" s="6">
        <v>2.1669999999999998</v>
      </c>
      <c r="N45" s="6">
        <v>2.1669999999999998</v>
      </c>
      <c r="O45" s="6">
        <v>2.1669999999999998</v>
      </c>
      <c r="P45" s="6">
        <v>30</v>
      </c>
      <c r="Q45" s="4" t="s">
        <v>26</v>
      </c>
      <c r="R45" s="4">
        <v>0</v>
      </c>
      <c r="S45" s="4">
        <v>0</v>
      </c>
      <c r="T45" s="4">
        <v>43</v>
      </c>
      <c r="U45" s="4">
        <v>66</v>
      </c>
      <c r="V45" s="6">
        <f>IF(ISERROR(VLOOKUP($S$45,'TAR FIN'!$A$1:$O$86,15,0)),0,VLOOKUP($S$45,'TAR FIN'!$A$1:$O$86,15,0))</f>
        <v>0</v>
      </c>
      <c r="W45" s="6">
        <f>IF(ISERROR(VLOOKUP($T$45,'TAR FIN'!$A$1:$O$86,15,0)),0,VLOOKUP($T$45,'TAR FIN'!$A$1:$O$86,15,0))</f>
        <v>487.89</v>
      </c>
      <c r="X45" s="6">
        <f>IF(ISERROR(VLOOKUP($U$45,'TAR FIN'!$A$1:$O$86,15,0)),0,VLOOKUP($U$45,'TAR FIN'!$A$1:$O$86,15,0))</f>
        <v>131.87</v>
      </c>
      <c r="Y45" s="6"/>
      <c r="Z45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5" s="6">
        <f>('TE BE'!$AB$15+'TE BF'!$AB$15+'TE CVA'!$AB$15)*(1-CUSTOS!$M$37)</f>
        <v>116.42847759142431</v>
      </c>
      <c r="AB45" s="6">
        <f t="shared" si="4"/>
        <v>0</v>
      </c>
      <c r="AC45" s="6">
        <f>(L45-M45)*(W45+X45)+($W$40+$X$40-$W$45-$X$45)*(L45)</f>
        <v>0</v>
      </c>
      <c r="AD45" s="6">
        <f t="shared" si="5"/>
        <v>0</v>
      </c>
      <c r="AE45" s="6">
        <f ca="1">(L45-M45)*(Z45+AA45)+($Z$40+$AA$40-$Z$45-$AA$45)*(L45)</f>
        <v>3.0794922167842739E-14</v>
      </c>
      <c r="AF45" s="4" t="s">
        <v>597</v>
      </c>
    </row>
    <row r="46" spans="1:32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32</v>
      </c>
      <c r="F46" s="4" t="s">
        <v>25</v>
      </c>
      <c r="G46" s="4" t="s">
        <v>25</v>
      </c>
      <c r="H46" s="4" t="s">
        <v>25</v>
      </c>
      <c r="I46" s="5">
        <v>44562</v>
      </c>
      <c r="J46" s="6">
        <v>0</v>
      </c>
      <c r="K46" s="6">
        <v>0</v>
      </c>
      <c r="L46" s="6">
        <v>3.621</v>
      </c>
      <c r="M46" s="6">
        <v>3.621</v>
      </c>
      <c r="N46" s="6">
        <v>3.621</v>
      </c>
      <c r="O46" s="6">
        <v>3.621</v>
      </c>
      <c r="P46" s="6">
        <v>51</v>
      </c>
      <c r="Q46" s="4" t="s">
        <v>26</v>
      </c>
      <c r="R46" s="4">
        <v>0</v>
      </c>
      <c r="S46" s="4">
        <v>0</v>
      </c>
      <c r="T46" s="4">
        <v>43</v>
      </c>
      <c r="U46" s="4">
        <v>66</v>
      </c>
      <c r="V46" s="6">
        <f>IF(ISERROR(VLOOKUP($S$46,'TAR FIN'!$A$1:$O$86,15,0)),0,VLOOKUP($S$46,'TAR FIN'!$A$1:$O$86,15,0))</f>
        <v>0</v>
      </c>
      <c r="W46" s="6">
        <f>IF(ISERROR(VLOOKUP($T$46,'TAR FIN'!$A$1:$O$86,15,0)),0,VLOOKUP($T$46,'TAR FIN'!$A$1:$O$86,15,0))</f>
        <v>487.89</v>
      </c>
      <c r="X46" s="6">
        <f>IF(ISERROR(VLOOKUP($U$46,'TAR FIN'!$A$1:$O$86,15,0)),0,VLOOKUP($U$46,'TAR FIN'!$A$1:$O$86,15,0))</f>
        <v>131.87</v>
      </c>
      <c r="Y46" s="6"/>
      <c r="Z46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6" s="6">
        <f>('TE BE'!$AB$15+'TE BF'!$AB$15+'TE CVA'!$AB$15)*(1-CUSTOS!$M$37)</f>
        <v>116.42847759142431</v>
      </c>
      <c r="AB46" s="6">
        <f t="shared" si="4"/>
        <v>0</v>
      </c>
      <c r="AC46" s="6">
        <f>(L46-M46)*(W46+X46)+($W$40+$X$40-$W$46-$X$46)*(L46)</f>
        <v>0</v>
      </c>
      <c r="AD46" s="6">
        <f t="shared" si="5"/>
        <v>0</v>
      </c>
      <c r="AE46" s="6">
        <f ca="1">(L46-M46)*(Z46+AA46)+($Z$40+$AA$40-$Z$46-$AA$46)*(L46)</f>
        <v>5.1457504923746455E-14</v>
      </c>
      <c r="AF46" s="4" t="s">
        <v>597</v>
      </c>
    </row>
    <row r="47" spans="1:32" ht="11.25" customHeight="1" x14ac:dyDescent="0.25">
      <c r="A47" s="4" t="s">
        <v>27</v>
      </c>
      <c r="B47" s="4" t="s">
        <v>22</v>
      </c>
      <c r="C47" s="4" t="s">
        <v>23</v>
      </c>
      <c r="D47" s="4" t="s">
        <v>24</v>
      </c>
      <c r="E47" s="4" t="s">
        <v>32</v>
      </c>
      <c r="F47" s="4" t="s">
        <v>25</v>
      </c>
      <c r="G47" s="4" t="s">
        <v>25</v>
      </c>
      <c r="H47" s="4" t="s">
        <v>25</v>
      </c>
      <c r="I47" s="5">
        <v>44562</v>
      </c>
      <c r="J47" s="6">
        <v>0</v>
      </c>
      <c r="K47" s="6">
        <v>0</v>
      </c>
      <c r="L47" s="6">
        <v>2.9000000000000001E-2</v>
      </c>
      <c r="M47" s="6">
        <v>2.9000000000000001E-2</v>
      </c>
      <c r="N47" s="6">
        <v>2.9000000000000001E-2</v>
      </c>
      <c r="O47" s="6">
        <v>2.9000000000000001E-2</v>
      </c>
      <c r="P47" s="6">
        <v>0</v>
      </c>
      <c r="Q47" s="4" t="s">
        <v>26</v>
      </c>
      <c r="R47" s="4">
        <v>0</v>
      </c>
      <c r="S47" s="4">
        <v>0</v>
      </c>
      <c r="T47" s="4">
        <v>43</v>
      </c>
      <c r="U47" s="4">
        <v>66</v>
      </c>
      <c r="V47" s="6">
        <f>IF(ISERROR(VLOOKUP($S$47,'TAR FIN'!$A$1:$O$86,15,0)),0,VLOOKUP($S$47,'TAR FIN'!$A$1:$O$86,15,0))</f>
        <v>0</v>
      </c>
      <c r="W47" s="6">
        <f>IF(ISERROR(VLOOKUP($T$47,'TAR FIN'!$A$1:$O$86,15,0)),0,VLOOKUP($T$47,'TAR FIN'!$A$1:$O$86,15,0))</f>
        <v>487.89</v>
      </c>
      <c r="X47" s="6">
        <f>IF(ISERROR(VLOOKUP($U$47,'TAR FIN'!$A$1:$O$86,15,0)),0,VLOOKUP($U$47,'TAR FIN'!$A$1:$O$86,15,0))</f>
        <v>131.87</v>
      </c>
      <c r="Y47" s="6"/>
      <c r="Z47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7" s="6">
        <f>('TE BE'!$AB$15+'TE BF'!$AB$15+'TE CVA'!$AB$15)*(1-CUSTOS!$M$37)</f>
        <v>116.42847759142431</v>
      </c>
      <c r="AB47" s="6">
        <f t="shared" si="4"/>
        <v>0</v>
      </c>
      <c r="AC47" s="6">
        <f>(L47-M47)*(W47+X47)+($W$40+$X$40-$W$47-$X$47)*(L47)</f>
        <v>0</v>
      </c>
      <c r="AD47" s="6">
        <f t="shared" si="5"/>
        <v>0</v>
      </c>
      <c r="AE47" s="6">
        <f ca="1">(L47-M47)*(Z47+AA47)+($Z$40+$AA$40-$Z$47-$AA$47)*(L47)</f>
        <v>4.1211478674085813E-16</v>
      </c>
      <c r="AF47" s="4" t="s">
        <v>597</v>
      </c>
    </row>
    <row r="48" spans="1:32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32</v>
      </c>
      <c r="F48" s="4" t="s">
        <v>25</v>
      </c>
      <c r="G48" s="4" t="s">
        <v>25</v>
      </c>
      <c r="H48" s="4" t="s">
        <v>25</v>
      </c>
      <c r="I48" s="5">
        <v>44593</v>
      </c>
      <c r="J48" s="6">
        <v>0</v>
      </c>
      <c r="K48" s="6">
        <v>0</v>
      </c>
      <c r="L48" s="6">
        <v>5.1289999999999996</v>
      </c>
      <c r="M48" s="6">
        <v>5.1289999999999996</v>
      </c>
      <c r="N48" s="6">
        <v>5.1289999999999996</v>
      </c>
      <c r="O48" s="6">
        <v>5.1289999999999996</v>
      </c>
      <c r="P48" s="6">
        <v>52</v>
      </c>
      <c r="Q48" s="4" t="s">
        <v>26</v>
      </c>
      <c r="R48" s="4">
        <v>0</v>
      </c>
      <c r="S48" s="4">
        <v>0</v>
      </c>
      <c r="T48" s="4">
        <v>43</v>
      </c>
      <c r="U48" s="4">
        <v>66</v>
      </c>
      <c r="V48" s="6">
        <f>IF(ISERROR(VLOOKUP($S$48,'TAR FIN'!$A$1:$O$86,15,0)),0,VLOOKUP($S$48,'TAR FIN'!$A$1:$O$86,15,0))</f>
        <v>0</v>
      </c>
      <c r="W48" s="6">
        <f>IF(ISERROR(VLOOKUP($T$48,'TAR FIN'!$A$1:$O$86,15,0)),0,VLOOKUP($T$48,'TAR FIN'!$A$1:$O$86,15,0))</f>
        <v>487.89</v>
      </c>
      <c r="X48" s="6">
        <f>IF(ISERROR(VLOOKUP($U$48,'TAR FIN'!$A$1:$O$86,15,0)),0,VLOOKUP($U$48,'TAR FIN'!$A$1:$O$86,15,0))</f>
        <v>131.87</v>
      </c>
      <c r="Y48" s="6"/>
      <c r="Z48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8" s="6">
        <f>('TE BE'!$AB$15+'TE BF'!$AB$15+'TE CVA'!$AB$15)*(1-CUSTOS!$M$37)</f>
        <v>116.42847759142431</v>
      </c>
      <c r="AB48" s="6">
        <f t="shared" si="4"/>
        <v>0</v>
      </c>
      <c r="AC48" s="6">
        <f>(L48-M48)*(W48+X48)+($W$40+$X$40-$W$48-$X$48)*(L48)</f>
        <v>0</v>
      </c>
      <c r="AD48" s="6">
        <f t="shared" si="5"/>
        <v>0</v>
      </c>
      <c r="AE48" s="6">
        <f ca="1">(L48-M48)*(Z48+AA48)+($Z$40+$AA$40-$Z$48-$AA$48)*(L48)</f>
        <v>7.2887473834271071E-14</v>
      </c>
      <c r="AF48" s="4" t="s">
        <v>597</v>
      </c>
    </row>
    <row r="49" spans="1:32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32</v>
      </c>
      <c r="F49" s="4" t="s">
        <v>25</v>
      </c>
      <c r="G49" s="4" t="s">
        <v>25</v>
      </c>
      <c r="H49" s="4" t="s">
        <v>25</v>
      </c>
      <c r="I49" s="5">
        <v>44621</v>
      </c>
      <c r="J49" s="6">
        <v>0</v>
      </c>
      <c r="K49" s="6">
        <v>0</v>
      </c>
      <c r="L49" s="6">
        <v>7.258</v>
      </c>
      <c r="M49" s="6">
        <v>7.258</v>
      </c>
      <c r="N49" s="6">
        <v>7.258</v>
      </c>
      <c r="O49" s="6">
        <v>7.258</v>
      </c>
      <c r="P49" s="6">
        <v>76</v>
      </c>
      <c r="Q49" s="4" t="s">
        <v>26</v>
      </c>
      <c r="R49" s="4">
        <v>0</v>
      </c>
      <c r="S49" s="4">
        <v>0</v>
      </c>
      <c r="T49" s="4">
        <v>43</v>
      </c>
      <c r="U49" s="4">
        <v>66</v>
      </c>
      <c r="V49" s="6">
        <f>IF(ISERROR(VLOOKUP($S$49,'TAR FIN'!$A$1:$O$86,15,0)),0,VLOOKUP($S$49,'TAR FIN'!$A$1:$O$86,15,0))</f>
        <v>0</v>
      </c>
      <c r="W49" s="6">
        <f>IF(ISERROR(VLOOKUP($T$49,'TAR FIN'!$A$1:$O$86,15,0)),0,VLOOKUP($T$49,'TAR FIN'!$A$1:$O$86,15,0))</f>
        <v>487.89</v>
      </c>
      <c r="X49" s="6">
        <f>IF(ISERROR(VLOOKUP($U$49,'TAR FIN'!$A$1:$O$86,15,0)),0,VLOOKUP($U$49,'TAR FIN'!$A$1:$O$86,15,0))</f>
        <v>131.87</v>
      </c>
      <c r="Y49" s="6"/>
      <c r="Z49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49" s="6">
        <f>('TE BE'!$AB$15+'TE BF'!$AB$15+'TE CVA'!$AB$15)*(1-CUSTOS!$M$37)</f>
        <v>116.42847759142431</v>
      </c>
      <c r="AB49" s="6">
        <f t="shared" si="4"/>
        <v>0</v>
      </c>
      <c r="AC49" s="6">
        <f>(L49-M49)*(W49+X49)+($W$40+$X$40-$W$49-$X$49)*(L49)</f>
        <v>0</v>
      </c>
      <c r="AD49" s="6">
        <f t="shared" si="5"/>
        <v>0</v>
      </c>
      <c r="AE49" s="6">
        <f ca="1">(L49-M49)*(Z49+AA49)+($Z$40+$AA$40-$Z$49-$AA$49)*(L49)</f>
        <v>1.0314238352293614E-13</v>
      </c>
      <c r="AF49" s="4" t="s">
        <v>597</v>
      </c>
    </row>
    <row r="50" spans="1:32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32</v>
      </c>
      <c r="F50" s="4" t="s">
        <v>25</v>
      </c>
      <c r="G50" s="4" t="s">
        <v>25</v>
      </c>
      <c r="H50" s="4" t="s">
        <v>25</v>
      </c>
      <c r="I50" s="5">
        <v>44652</v>
      </c>
      <c r="J50" s="6">
        <v>0</v>
      </c>
      <c r="K50" s="6">
        <v>0</v>
      </c>
      <c r="L50" s="6">
        <v>13.558</v>
      </c>
      <c r="M50" s="6">
        <v>13.558</v>
      </c>
      <c r="N50" s="6">
        <v>13.558</v>
      </c>
      <c r="O50" s="6">
        <v>13.558</v>
      </c>
      <c r="P50" s="6">
        <v>128</v>
      </c>
      <c r="Q50" s="4" t="s">
        <v>26</v>
      </c>
      <c r="R50" s="4">
        <v>0</v>
      </c>
      <c r="S50" s="4">
        <v>0</v>
      </c>
      <c r="T50" s="4">
        <v>43</v>
      </c>
      <c r="U50" s="4">
        <v>66</v>
      </c>
      <c r="V50" s="6">
        <f>IF(ISERROR(VLOOKUP($S$50,'TAR FIN'!$A$1:$O$86,15,0)),0,VLOOKUP($S$50,'TAR FIN'!$A$1:$O$86,15,0))</f>
        <v>0</v>
      </c>
      <c r="W50" s="6">
        <f>IF(ISERROR(VLOOKUP($T$50,'TAR FIN'!$A$1:$O$86,15,0)),0,VLOOKUP($T$50,'TAR FIN'!$A$1:$O$86,15,0))</f>
        <v>487.89</v>
      </c>
      <c r="X50" s="6">
        <f>IF(ISERROR(VLOOKUP($U$50,'TAR FIN'!$A$1:$O$86,15,0)),0,VLOOKUP($U$50,'TAR FIN'!$A$1:$O$86,15,0))</f>
        <v>131.87</v>
      </c>
      <c r="Y50" s="6"/>
      <c r="Z50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50" s="6">
        <f>('TE BE'!$AB$15+'TE BF'!$AB$15+'TE CVA'!$AB$15)*(1-CUSTOS!$M$37)</f>
        <v>116.42847759142431</v>
      </c>
      <c r="AB50" s="6">
        <f t="shared" si="4"/>
        <v>0</v>
      </c>
      <c r="AC50" s="6">
        <f>(L50-M50)*(W50+X50)+($W$40+$X$40-$W$50-$X$50)*(L50)</f>
        <v>0</v>
      </c>
      <c r="AD50" s="6">
        <f t="shared" si="5"/>
        <v>0</v>
      </c>
      <c r="AE50" s="6">
        <f ca="1">(L50-M50)*(Z50+AA50)+($Z$40+$AA$40-$Z$50-$AA$50)*(L50)</f>
        <v>1.9267076822870876E-13</v>
      </c>
      <c r="AF50" s="4" t="s">
        <v>597</v>
      </c>
    </row>
    <row r="51" spans="1:32" ht="11.25" customHeight="1" x14ac:dyDescent="0.25">
      <c r="A51" s="4" t="s">
        <v>21</v>
      </c>
      <c r="B51" s="4" t="s">
        <v>22</v>
      </c>
      <c r="C51" s="4" t="s">
        <v>23</v>
      </c>
      <c r="D51" s="4" t="s">
        <v>24</v>
      </c>
      <c r="E51" s="4" t="s">
        <v>32</v>
      </c>
      <c r="F51" s="4" t="s">
        <v>25</v>
      </c>
      <c r="G51" s="4" t="s">
        <v>25</v>
      </c>
      <c r="H51" s="4" t="s">
        <v>25</v>
      </c>
      <c r="I51" s="5">
        <v>44682</v>
      </c>
      <c r="J51" s="6">
        <v>0</v>
      </c>
      <c r="K51" s="6">
        <v>0</v>
      </c>
      <c r="L51" s="6">
        <v>12.082000000000001</v>
      </c>
      <c r="M51" s="6">
        <v>12.082000000000001</v>
      </c>
      <c r="N51" s="6">
        <v>12.082000000000001</v>
      </c>
      <c r="O51" s="6">
        <v>12.082000000000001</v>
      </c>
      <c r="P51" s="6">
        <v>120</v>
      </c>
      <c r="Q51" s="4" t="s">
        <v>26</v>
      </c>
      <c r="R51" s="4">
        <v>0</v>
      </c>
      <c r="S51" s="4">
        <v>0</v>
      </c>
      <c r="T51" s="4">
        <v>43</v>
      </c>
      <c r="U51" s="4">
        <v>66</v>
      </c>
      <c r="V51" s="6">
        <f>IF(ISERROR(VLOOKUP($S$51,'TAR FIN'!$A$1:$O$86,15,0)),0,VLOOKUP($S$51,'TAR FIN'!$A$1:$O$86,15,0))</f>
        <v>0</v>
      </c>
      <c r="W51" s="6">
        <f>IF(ISERROR(VLOOKUP($T$51,'TAR FIN'!$A$1:$O$86,15,0)),0,VLOOKUP($T$51,'TAR FIN'!$A$1:$O$86,15,0))</f>
        <v>487.89</v>
      </c>
      <c r="X51" s="6">
        <f>IF(ISERROR(VLOOKUP($U$51,'TAR FIN'!$A$1:$O$86,15,0)),0,VLOOKUP($U$51,'TAR FIN'!$A$1:$O$86,15,0))</f>
        <v>131.87</v>
      </c>
      <c r="Y51" s="6"/>
      <c r="Z51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51" s="6">
        <f>('TE BE'!$AB$15+'TE BF'!$AB$15+'TE CVA'!$AB$15)*(1-CUSTOS!$M$37)</f>
        <v>116.42847759142431</v>
      </c>
      <c r="AB51" s="6">
        <f t="shared" si="4"/>
        <v>0</v>
      </c>
      <c r="AC51" s="6">
        <f>(L51-M51)*(W51+X51)+($W$40+$X$40-$W$51-$X$51)*(L51)</f>
        <v>0</v>
      </c>
      <c r="AD51" s="6">
        <f t="shared" si="5"/>
        <v>0</v>
      </c>
      <c r="AE51" s="6">
        <f ca="1">(L51-M51)*(Z51+AA51)+($Z$40+$AA$40-$Z$51-$AA$51)*(L51)</f>
        <v>1.7169554666907062E-13</v>
      </c>
      <c r="AF51" s="4" t="s">
        <v>597</v>
      </c>
    </row>
    <row r="52" spans="1:32" ht="11.25" customHeight="1" x14ac:dyDescent="0.25">
      <c r="A52" s="4" t="s">
        <v>21</v>
      </c>
      <c r="B52" s="4" t="s">
        <v>22</v>
      </c>
      <c r="C52" s="4" t="s">
        <v>23</v>
      </c>
      <c r="D52" s="4" t="s">
        <v>24</v>
      </c>
      <c r="E52" s="4" t="s">
        <v>32</v>
      </c>
      <c r="F52" s="4" t="s">
        <v>25</v>
      </c>
      <c r="G52" s="4" t="s">
        <v>25</v>
      </c>
      <c r="H52" s="4" t="s">
        <v>25</v>
      </c>
      <c r="I52" s="5">
        <v>44713</v>
      </c>
      <c r="J52" s="6">
        <v>0</v>
      </c>
      <c r="K52" s="6">
        <v>0</v>
      </c>
      <c r="L52" s="6">
        <v>15.427</v>
      </c>
      <c r="M52" s="6">
        <v>15.427</v>
      </c>
      <c r="N52" s="6">
        <v>15.427</v>
      </c>
      <c r="O52" s="6">
        <v>15.427</v>
      </c>
      <c r="P52" s="6">
        <v>149</v>
      </c>
      <c r="Q52" s="4" t="s">
        <v>26</v>
      </c>
      <c r="R52" s="4">
        <v>0</v>
      </c>
      <c r="S52" s="4">
        <v>0</v>
      </c>
      <c r="T52" s="4">
        <v>43</v>
      </c>
      <c r="U52" s="4">
        <v>66</v>
      </c>
      <c r="V52" s="6">
        <f>IF(ISERROR(VLOOKUP($S$52,'TAR FIN'!$A$1:$O$86,15,0)),0,VLOOKUP($S$52,'TAR FIN'!$A$1:$O$86,15,0))</f>
        <v>0</v>
      </c>
      <c r="W52" s="6">
        <f>IF(ISERROR(VLOOKUP($T$52,'TAR FIN'!$A$1:$O$86,15,0)),0,VLOOKUP($T$52,'TAR FIN'!$A$1:$O$86,15,0))</f>
        <v>487.89</v>
      </c>
      <c r="X52" s="6">
        <f>IF(ISERROR(VLOOKUP($U$52,'TAR FIN'!$A$1:$O$86,15,0)),0,VLOOKUP($U$52,'TAR FIN'!$A$1:$O$86,15,0))</f>
        <v>131.87</v>
      </c>
      <c r="Y52" s="6"/>
      <c r="Z52" s="6">
        <f ca="1">('TUSD BE'!$AM$24+'TUSD BF'!$AM$24+'TUSD CVA'!$AM$24-('TUSD BE'!$P$24+'TUSD BF'!$P$24+'TUSD CVA'!$P$24)-('TUSD BE'!$Q$24+'TUSD BF'!$Q$24+'TUSD CVA'!$Q$24)-('TUSD BE'!$R$24+'TUSD BF'!$R$24+'TUSD CVA'!$R$24))*(1-CUSTOS!$M$37)</f>
        <v>563.41589111945905</v>
      </c>
      <c r="AA52" s="6">
        <f>('TE BE'!$AB$15+'TE BF'!$AB$15+'TE CVA'!$AB$15)*(1-CUSTOS!$M$37)</f>
        <v>116.42847759142431</v>
      </c>
      <c r="AB52" s="6">
        <f t="shared" si="4"/>
        <v>0</v>
      </c>
      <c r="AC52" s="6">
        <f>(L52-M52)*(W52+X52)+($W$40+$X$40-$W$52-$X$52)*(L52)</f>
        <v>0</v>
      </c>
      <c r="AD52" s="6">
        <f t="shared" si="5"/>
        <v>0</v>
      </c>
      <c r="AE52" s="6">
        <f ca="1">(L52-M52)*(Z52+AA52)+($Z$40+$AA$40-$Z$52-$AA$52)*(L52)</f>
        <v>2.1923085569142131E-13</v>
      </c>
      <c r="AF52" s="4" t="s">
        <v>597</v>
      </c>
    </row>
    <row r="53" spans="1:32" ht="11.25" customHeight="1" x14ac:dyDescent="0.25">
      <c r="A53" s="4" t="s">
        <v>21</v>
      </c>
      <c r="B53" s="4" t="s">
        <v>41</v>
      </c>
      <c r="C53" s="4" t="s">
        <v>23</v>
      </c>
      <c r="D53" s="4" t="s">
        <v>42</v>
      </c>
      <c r="E53" s="4" t="s">
        <v>25</v>
      </c>
      <c r="F53" s="4" t="s">
        <v>25</v>
      </c>
      <c r="G53" s="4" t="s">
        <v>25</v>
      </c>
      <c r="H53" s="4" t="s">
        <v>25</v>
      </c>
      <c r="I53" s="5">
        <v>44378</v>
      </c>
      <c r="J53" s="6">
        <v>0</v>
      </c>
      <c r="K53" s="6">
        <v>0</v>
      </c>
      <c r="L53" s="6">
        <v>54.207999999999998</v>
      </c>
      <c r="M53" s="6">
        <v>54.207999999999998</v>
      </c>
      <c r="N53" s="6">
        <v>54.207999999999998</v>
      </c>
      <c r="O53" s="6">
        <v>54.207999999999998</v>
      </c>
      <c r="P53" s="6">
        <v>41</v>
      </c>
      <c r="Q53" s="4" t="s">
        <v>26</v>
      </c>
      <c r="R53" s="4">
        <v>0</v>
      </c>
      <c r="S53" s="4">
        <v>0</v>
      </c>
      <c r="T53" s="4">
        <v>51</v>
      </c>
      <c r="U53" s="4">
        <v>44</v>
      </c>
      <c r="V53" s="6">
        <f>IF(ISERROR(VLOOKUP($S$53,'TAR FIN'!$A$1:$O$86,15,0)),0,VLOOKUP($S$53,'TAR FIN'!$A$1:$O$86,15,0))</f>
        <v>0</v>
      </c>
      <c r="W53" s="6">
        <f>IF(ISERROR(VLOOKUP($T$53,'TAR FIN'!$A$1:$O$86,15,0)),0,VLOOKUP($T$53,'TAR FIN'!$A$1:$O$86,15,0))</f>
        <v>490.02</v>
      </c>
      <c r="X53" s="6">
        <f>IF(ISERROR(VLOOKUP($U$53,'TAR FIN'!$A$1:$O$86,15,0)),0,VLOOKUP($U$53,'TAR FIN'!$A$1:$O$86,15,0))</f>
        <v>116.05</v>
      </c>
      <c r="Y53" s="6"/>
      <c r="Z53" s="6">
        <f ca="1">('TUSD BE'!$AM$33+'TUSD BF'!$AM$33+'TUSD CVA'!$AM$33)*(1-CUSTOS!$M$38)</f>
        <v>629.87923328312354</v>
      </c>
      <c r="AA53" s="6">
        <f>('TE BE'!$AB$24+'TE BF'!$AB$24+'TE CVA'!$AB$24)*(1-CUSTOS!$M$38)</f>
        <v>109.44276893593884</v>
      </c>
      <c r="AB53" s="6">
        <f t="shared" si="4"/>
        <v>0</v>
      </c>
      <c r="AC53" s="6">
        <f>(L53-M53)*(W53+X53)+($W$2+$X$2-$W$53-$X$53)*(L53)</f>
        <v>4479.7491200000031</v>
      </c>
      <c r="AD53" s="6">
        <f t="shared" si="5"/>
        <v>0</v>
      </c>
      <c r="AE53" s="6">
        <f ca="1">(L53-M53)*(Z53+AA53)+($Z$2+$AA$2-$Z$53-$AA$53)*(L53)</f>
        <v>2558.1170486994242</v>
      </c>
      <c r="AF53" s="4" t="s">
        <v>598</v>
      </c>
    </row>
    <row r="54" spans="1:32" ht="11.25" customHeight="1" x14ac:dyDescent="0.25">
      <c r="A54" s="4" t="s">
        <v>21</v>
      </c>
      <c r="B54" s="4" t="s">
        <v>41</v>
      </c>
      <c r="C54" s="4" t="s">
        <v>23</v>
      </c>
      <c r="D54" s="4" t="s">
        <v>42</v>
      </c>
      <c r="E54" s="4" t="s">
        <v>25</v>
      </c>
      <c r="F54" s="4" t="s">
        <v>25</v>
      </c>
      <c r="G54" s="4" t="s">
        <v>25</v>
      </c>
      <c r="H54" s="4" t="s">
        <v>25</v>
      </c>
      <c r="I54" s="5">
        <v>44409</v>
      </c>
      <c r="J54" s="6">
        <v>0</v>
      </c>
      <c r="K54" s="6">
        <v>0</v>
      </c>
      <c r="L54" s="6">
        <v>59.506</v>
      </c>
      <c r="M54" s="6">
        <v>59.506</v>
      </c>
      <c r="N54" s="6">
        <v>59.506</v>
      </c>
      <c r="O54" s="6">
        <v>59.506</v>
      </c>
      <c r="P54" s="6">
        <v>41</v>
      </c>
      <c r="Q54" s="4" t="s">
        <v>26</v>
      </c>
      <c r="R54" s="4">
        <v>0</v>
      </c>
      <c r="S54" s="4">
        <v>0</v>
      </c>
      <c r="T54" s="4">
        <v>51</v>
      </c>
      <c r="U54" s="4">
        <v>44</v>
      </c>
      <c r="V54" s="6">
        <f>IF(ISERROR(VLOOKUP($S$54,'TAR FIN'!$A$1:$O$86,15,0)),0,VLOOKUP($S$54,'TAR FIN'!$A$1:$O$86,15,0))</f>
        <v>0</v>
      </c>
      <c r="W54" s="6">
        <f>IF(ISERROR(VLOOKUP($T$54,'TAR FIN'!$A$1:$O$86,15,0)),0,VLOOKUP($T$54,'TAR FIN'!$A$1:$O$86,15,0))</f>
        <v>490.02</v>
      </c>
      <c r="X54" s="6">
        <f>IF(ISERROR(VLOOKUP($U$54,'TAR FIN'!$A$1:$O$86,15,0)),0,VLOOKUP($U$54,'TAR FIN'!$A$1:$O$86,15,0))</f>
        <v>116.05</v>
      </c>
      <c r="Y54" s="6"/>
      <c r="Z54" s="6">
        <f ca="1">('TUSD BE'!$AM$33+'TUSD BF'!$AM$33+'TUSD CVA'!$AM$33)*(1-CUSTOS!$M$38)</f>
        <v>629.87923328312354</v>
      </c>
      <c r="AA54" s="6">
        <f>('TE BE'!$AB$24+'TE BF'!$AB$24+'TE CVA'!$AB$24)*(1-CUSTOS!$M$38)</f>
        <v>109.44276893593884</v>
      </c>
      <c r="AB54" s="6">
        <f t="shared" si="4"/>
        <v>0</v>
      </c>
      <c r="AC54" s="6">
        <f>(L54-M54)*(W54+X54)+($W$2+$X$2-$W$54-$X$54)*(L54)</f>
        <v>4917.5758400000032</v>
      </c>
      <c r="AD54" s="6">
        <f t="shared" si="5"/>
        <v>0</v>
      </c>
      <c r="AE54" s="6">
        <f ca="1">(L54-M54)*(Z54+AA54)+($Z$2+$AA$2-$Z$54-$AA$54)*(L54)</f>
        <v>2808.1337274923985</v>
      </c>
      <c r="AF54" s="4" t="s">
        <v>598</v>
      </c>
    </row>
    <row r="55" spans="1:32" ht="11.25" customHeight="1" x14ac:dyDescent="0.25">
      <c r="A55" s="4" t="s">
        <v>21</v>
      </c>
      <c r="B55" s="4" t="s">
        <v>41</v>
      </c>
      <c r="C55" s="4" t="s">
        <v>23</v>
      </c>
      <c r="D55" s="4" t="s">
        <v>42</v>
      </c>
      <c r="E55" s="4" t="s">
        <v>25</v>
      </c>
      <c r="F55" s="4" t="s">
        <v>25</v>
      </c>
      <c r="G55" s="4" t="s">
        <v>25</v>
      </c>
      <c r="H55" s="4" t="s">
        <v>25</v>
      </c>
      <c r="I55" s="5">
        <v>44440</v>
      </c>
      <c r="J55" s="6">
        <v>0</v>
      </c>
      <c r="K55" s="6">
        <v>0</v>
      </c>
      <c r="L55" s="6">
        <v>56.250999999999998</v>
      </c>
      <c r="M55" s="6">
        <v>56.250999999999998</v>
      </c>
      <c r="N55" s="6">
        <v>56.250999999999998</v>
      </c>
      <c r="O55" s="6">
        <v>56.250999999999998</v>
      </c>
      <c r="P55" s="6">
        <v>42</v>
      </c>
      <c r="Q55" s="4" t="s">
        <v>26</v>
      </c>
      <c r="R55" s="4">
        <v>0</v>
      </c>
      <c r="S55" s="4">
        <v>0</v>
      </c>
      <c r="T55" s="4">
        <v>51</v>
      </c>
      <c r="U55" s="4">
        <v>44</v>
      </c>
      <c r="V55" s="6">
        <f>IF(ISERROR(VLOOKUP($S$55,'TAR FIN'!$A$1:$O$86,15,0)),0,VLOOKUP($S$55,'TAR FIN'!$A$1:$O$86,15,0))</f>
        <v>0</v>
      </c>
      <c r="W55" s="6">
        <f>IF(ISERROR(VLOOKUP($T$55,'TAR FIN'!$A$1:$O$86,15,0)),0,VLOOKUP($T$55,'TAR FIN'!$A$1:$O$86,15,0))</f>
        <v>490.02</v>
      </c>
      <c r="X55" s="6">
        <f>IF(ISERROR(VLOOKUP($U$55,'TAR FIN'!$A$1:$O$86,15,0)),0,VLOOKUP($U$55,'TAR FIN'!$A$1:$O$86,15,0))</f>
        <v>116.05</v>
      </c>
      <c r="Y55" s="6"/>
      <c r="Z55" s="6">
        <f ca="1">('TUSD BE'!$AM$33+'TUSD BF'!$AM$33+'TUSD CVA'!$AM$33)*(1-CUSTOS!$M$38)</f>
        <v>629.87923328312354</v>
      </c>
      <c r="AA55" s="6">
        <f>('TE BE'!$AB$24+'TE BF'!$AB$24+'TE CVA'!$AB$24)*(1-CUSTOS!$M$38)</f>
        <v>109.44276893593884</v>
      </c>
      <c r="AB55" s="6">
        <f t="shared" si="4"/>
        <v>0</v>
      </c>
      <c r="AC55" s="6">
        <f>(L55-M55)*(W55+X55)+($W$2+$X$2-$W$55-$X$55)*(L55)</f>
        <v>4648.5826400000033</v>
      </c>
      <c r="AD55" s="6">
        <f t="shared" si="5"/>
        <v>0</v>
      </c>
      <c r="AE55" s="6">
        <f ca="1">(L55-M55)*(Z55+AA55)+($Z$2+$AA$2-$Z$55-$AA$55)*(L55)</f>
        <v>2654.5277838398633</v>
      </c>
      <c r="AF55" s="4" t="s">
        <v>598</v>
      </c>
    </row>
    <row r="56" spans="1:32" ht="11.25" customHeight="1" x14ac:dyDescent="0.25">
      <c r="A56" s="4" t="s">
        <v>21</v>
      </c>
      <c r="B56" s="4" t="s">
        <v>41</v>
      </c>
      <c r="C56" s="4" t="s">
        <v>23</v>
      </c>
      <c r="D56" s="4" t="s">
        <v>42</v>
      </c>
      <c r="E56" s="4" t="s">
        <v>25</v>
      </c>
      <c r="F56" s="4" t="s">
        <v>25</v>
      </c>
      <c r="G56" s="4" t="s">
        <v>25</v>
      </c>
      <c r="H56" s="4" t="s">
        <v>25</v>
      </c>
      <c r="I56" s="5">
        <v>44470</v>
      </c>
      <c r="J56" s="6">
        <v>0</v>
      </c>
      <c r="K56" s="6">
        <v>0</v>
      </c>
      <c r="L56" s="6">
        <v>56.595999999999997</v>
      </c>
      <c r="M56" s="6">
        <v>56.595999999999997</v>
      </c>
      <c r="N56" s="6">
        <v>56.595999999999997</v>
      </c>
      <c r="O56" s="6">
        <v>56.595999999999997</v>
      </c>
      <c r="P56" s="6">
        <v>42</v>
      </c>
      <c r="Q56" s="4" t="s">
        <v>26</v>
      </c>
      <c r="R56" s="4">
        <v>0</v>
      </c>
      <c r="S56" s="4">
        <v>0</v>
      </c>
      <c r="T56" s="4">
        <v>51</v>
      </c>
      <c r="U56" s="4">
        <v>44</v>
      </c>
      <c r="V56" s="6">
        <f>IF(ISERROR(VLOOKUP($S$56,'TAR FIN'!$A$1:$O$86,15,0)),0,VLOOKUP($S$56,'TAR FIN'!$A$1:$O$86,15,0))</f>
        <v>0</v>
      </c>
      <c r="W56" s="6">
        <f>IF(ISERROR(VLOOKUP($T$56,'TAR FIN'!$A$1:$O$86,15,0)),0,VLOOKUP($T$56,'TAR FIN'!$A$1:$O$86,15,0))</f>
        <v>490.02</v>
      </c>
      <c r="X56" s="6">
        <f>IF(ISERROR(VLOOKUP($U$56,'TAR FIN'!$A$1:$O$86,15,0)),0,VLOOKUP($U$56,'TAR FIN'!$A$1:$O$86,15,0))</f>
        <v>116.05</v>
      </c>
      <c r="Y56" s="6"/>
      <c r="Z56" s="6">
        <f ca="1">('TUSD BE'!$AM$33+'TUSD BF'!$AM$33+'TUSD CVA'!$AM$33)*(1-CUSTOS!$M$38)</f>
        <v>629.87923328312354</v>
      </c>
      <c r="AA56" s="6">
        <f>('TE BE'!$AB$24+'TE BF'!$AB$24+'TE CVA'!$AB$24)*(1-CUSTOS!$M$38)</f>
        <v>109.44276893593884</v>
      </c>
      <c r="AB56" s="6">
        <f t="shared" si="4"/>
        <v>0</v>
      </c>
      <c r="AC56" s="6">
        <f>(L56-M56)*(W56+X56)+($W$2+$X$2-$W$56-$X$56)*(L56)</f>
        <v>4677.0934400000033</v>
      </c>
      <c r="AD56" s="6">
        <f t="shared" si="5"/>
        <v>0</v>
      </c>
      <c r="AE56" s="6">
        <f ca="1">(L56-M56)*(Z56+AA56)+($Z$2+$AA$2-$Z$56-$AA$56)*(L56)</f>
        <v>2670.808598144049</v>
      </c>
      <c r="AF56" s="4" t="s">
        <v>598</v>
      </c>
    </row>
    <row r="57" spans="1:32" ht="11.25" customHeight="1" x14ac:dyDescent="0.25">
      <c r="A57" s="4" t="s">
        <v>21</v>
      </c>
      <c r="B57" s="4" t="s">
        <v>41</v>
      </c>
      <c r="C57" s="4" t="s">
        <v>23</v>
      </c>
      <c r="D57" s="4" t="s">
        <v>42</v>
      </c>
      <c r="E57" s="4" t="s">
        <v>25</v>
      </c>
      <c r="F57" s="4" t="s">
        <v>25</v>
      </c>
      <c r="G57" s="4" t="s">
        <v>25</v>
      </c>
      <c r="H57" s="4" t="s">
        <v>25</v>
      </c>
      <c r="I57" s="5">
        <v>44501</v>
      </c>
      <c r="J57" s="6">
        <v>0</v>
      </c>
      <c r="K57" s="6">
        <v>0</v>
      </c>
      <c r="L57" s="6">
        <v>53.649000000000001</v>
      </c>
      <c r="M57" s="6">
        <v>53.649000000000001</v>
      </c>
      <c r="N57" s="6">
        <v>53.649000000000001</v>
      </c>
      <c r="O57" s="6">
        <v>53.649000000000001</v>
      </c>
      <c r="P57" s="6">
        <v>42</v>
      </c>
      <c r="Q57" s="4" t="s">
        <v>26</v>
      </c>
      <c r="R57" s="4">
        <v>0</v>
      </c>
      <c r="S57" s="4">
        <v>0</v>
      </c>
      <c r="T57" s="4">
        <v>51</v>
      </c>
      <c r="U57" s="4">
        <v>44</v>
      </c>
      <c r="V57" s="6">
        <f>IF(ISERROR(VLOOKUP($S$57,'TAR FIN'!$A$1:$O$86,15,0)),0,VLOOKUP($S$57,'TAR FIN'!$A$1:$O$86,15,0))</f>
        <v>0</v>
      </c>
      <c r="W57" s="6">
        <f>IF(ISERROR(VLOOKUP($T$57,'TAR FIN'!$A$1:$O$86,15,0)),0,VLOOKUP($T$57,'TAR FIN'!$A$1:$O$86,15,0))</f>
        <v>490.02</v>
      </c>
      <c r="X57" s="6">
        <f>IF(ISERROR(VLOOKUP($U$57,'TAR FIN'!$A$1:$O$86,15,0)),0,VLOOKUP($U$57,'TAR FIN'!$A$1:$O$86,15,0))</f>
        <v>116.05</v>
      </c>
      <c r="Y57" s="6"/>
      <c r="Z57" s="6">
        <f ca="1">('TUSD BE'!$AM$33+'TUSD BF'!$AM$33+'TUSD CVA'!$AM$33)*(1-CUSTOS!$M$38)</f>
        <v>629.87923328312354</v>
      </c>
      <c r="AA57" s="6">
        <f>('TE BE'!$AB$24+'TE BF'!$AB$24+'TE CVA'!$AB$24)*(1-CUSTOS!$M$38)</f>
        <v>109.44276893593884</v>
      </c>
      <c r="AB57" s="6">
        <f t="shared" si="4"/>
        <v>0</v>
      </c>
      <c r="AC57" s="6">
        <f>(L57-M57)*(W57+X57)+($W$2+$X$2-$W$57-$X$57)*(L57)</f>
        <v>4433.5533600000035</v>
      </c>
      <c r="AD57" s="6">
        <f t="shared" si="5"/>
        <v>0</v>
      </c>
      <c r="AE57" s="6">
        <f ca="1">(L57-M57)*(Z57+AA57)+($Z$2+$AA$2-$Z$57-$AA$57)*(L57)</f>
        <v>2531.7374104500336</v>
      </c>
      <c r="AF57" s="4" t="s">
        <v>598</v>
      </c>
    </row>
    <row r="58" spans="1:32" ht="11.25" customHeight="1" x14ac:dyDescent="0.25">
      <c r="A58" s="4" t="s">
        <v>21</v>
      </c>
      <c r="B58" s="4" t="s">
        <v>41</v>
      </c>
      <c r="C58" s="4" t="s">
        <v>23</v>
      </c>
      <c r="D58" s="4" t="s">
        <v>42</v>
      </c>
      <c r="E58" s="4" t="s">
        <v>25</v>
      </c>
      <c r="F58" s="4" t="s">
        <v>25</v>
      </c>
      <c r="G58" s="4" t="s">
        <v>25</v>
      </c>
      <c r="H58" s="4" t="s">
        <v>25</v>
      </c>
      <c r="I58" s="5">
        <v>44531</v>
      </c>
      <c r="J58" s="6">
        <v>0</v>
      </c>
      <c r="K58" s="6">
        <v>0</v>
      </c>
      <c r="L58" s="6">
        <v>56.908999999999999</v>
      </c>
      <c r="M58" s="6">
        <v>56.908999999999999</v>
      </c>
      <c r="N58" s="6">
        <v>56.908999999999999</v>
      </c>
      <c r="O58" s="6">
        <v>56.908999999999999</v>
      </c>
      <c r="P58" s="6">
        <v>42</v>
      </c>
      <c r="Q58" s="4" t="s">
        <v>26</v>
      </c>
      <c r="R58" s="4">
        <v>0</v>
      </c>
      <c r="S58" s="4">
        <v>0</v>
      </c>
      <c r="T58" s="4">
        <v>51</v>
      </c>
      <c r="U58" s="4">
        <v>44</v>
      </c>
      <c r="V58" s="6">
        <f>IF(ISERROR(VLOOKUP($S$58,'TAR FIN'!$A$1:$O$86,15,0)),0,VLOOKUP($S$58,'TAR FIN'!$A$1:$O$86,15,0))</f>
        <v>0</v>
      </c>
      <c r="W58" s="6">
        <f>IF(ISERROR(VLOOKUP($T$58,'TAR FIN'!$A$1:$O$86,15,0)),0,VLOOKUP($T$58,'TAR FIN'!$A$1:$O$86,15,0))</f>
        <v>490.02</v>
      </c>
      <c r="X58" s="6">
        <f>IF(ISERROR(VLOOKUP($U$58,'TAR FIN'!$A$1:$O$86,15,0)),0,VLOOKUP($U$58,'TAR FIN'!$A$1:$O$86,15,0))</f>
        <v>116.05</v>
      </c>
      <c r="Y58" s="6"/>
      <c r="Z58" s="6">
        <f ca="1">('TUSD BE'!$AM$33+'TUSD BF'!$AM$33+'TUSD CVA'!$AM$33)*(1-CUSTOS!$M$38)</f>
        <v>629.87923328312354</v>
      </c>
      <c r="AA58" s="6">
        <f>('TE BE'!$AB$24+'TE BF'!$AB$24+'TE CVA'!$AB$24)*(1-CUSTOS!$M$38)</f>
        <v>109.44276893593884</v>
      </c>
      <c r="AB58" s="6">
        <f t="shared" si="4"/>
        <v>0</v>
      </c>
      <c r="AC58" s="6">
        <f>(L58-M58)*(W58+X58)+($W$2+$X$2-$W$58-$X$58)*(L58)</f>
        <v>4702.9597600000034</v>
      </c>
      <c r="AD58" s="6">
        <f t="shared" si="5"/>
        <v>0</v>
      </c>
      <c r="AE58" s="6">
        <f ca="1">(L58-M58)*(Z58+AA58)+($Z$2+$AA$2-$Z$58-$AA$58)*(L58)</f>
        <v>2685.5793079330642</v>
      </c>
      <c r="AF58" s="4" t="s">
        <v>598</v>
      </c>
    </row>
    <row r="59" spans="1:32" ht="11.25" customHeight="1" x14ac:dyDescent="0.25">
      <c r="A59" s="4" t="s">
        <v>21</v>
      </c>
      <c r="B59" s="4" t="s">
        <v>41</v>
      </c>
      <c r="C59" s="4" t="s">
        <v>23</v>
      </c>
      <c r="D59" s="4" t="s">
        <v>42</v>
      </c>
      <c r="E59" s="4" t="s">
        <v>25</v>
      </c>
      <c r="F59" s="4" t="s">
        <v>25</v>
      </c>
      <c r="G59" s="4" t="s">
        <v>25</v>
      </c>
      <c r="H59" s="4" t="s">
        <v>25</v>
      </c>
      <c r="I59" s="5">
        <v>44562</v>
      </c>
      <c r="J59" s="6">
        <v>0</v>
      </c>
      <c r="K59" s="6">
        <v>0</v>
      </c>
      <c r="L59" s="6">
        <v>59.033999999999999</v>
      </c>
      <c r="M59" s="6">
        <v>59.033999999999999</v>
      </c>
      <c r="N59" s="6">
        <v>59.033999999999999</v>
      </c>
      <c r="O59" s="6">
        <v>59.033999999999999</v>
      </c>
      <c r="P59" s="6">
        <v>38</v>
      </c>
      <c r="Q59" s="4" t="s">
        <v>26</v>
      </c>
      <c r="R59" s="4">
        <v>0</v>
      </c>
      <c r="S59" s="4">
        <v>0</v>
      </c>
      <c r="T59" s="4">
        <v>51</v>
      </c>
      <c r="U59" s="4">
        <v>44</v>
      </c>
      <c r="V59" s="6">
        <f>IF(ISERROR(VLOOKUP($S$59,'TAR FIN'!$A$1:$O$86,15,0)),0,VLOOKUP($S$59,'TAR FIN'!$A$1:$O$86,15,0))</f>
        <v>0</v>
      </c>
      <c r="W59" s="6">
        <f>IF(ISERROR(VLOOKUP($T$59,'TAR FIN'!$A$1:$O$86,15,0)),0,VLOOKUP($T$59,'TAR FIN'!$A$1:$O$86,15,0))</f>
        <v>490.02</v>
      </c>
      <c r="X59" s="6">
        <f>IF(ISERROR(VLOOKUP($U$59,'TAR FIN'!$A$1:$O$86,15,0)),0,VLOOKUP($U$59,'TAR FIN'!$A$1:$O$86,15,0))</f>
        <v>116.05</v>
      </c>
      <c r="Y59" s="6"/>
      <c r="Z59" s="6">
        <f ca="1">('TUSD BE'!$AM$33+'TUSD BF'!$AM$33+'TUSD CVA'!$AM$33)*(1-CUSTOS!$M$38)</f>
        <v>629.87923328312354</v>
      </c>
      <c r="AA59" s="6">
        <f>('TE BE'!$AB$24+'TE BF'!$AB$24+'TE CVA'!$AB$24)*(1-CUSTOS!$M$38)</f>
        <v>109.44276893593884</v>
      </c>
      <c r="AB59" s="6">
        <f t="shared" si="4"/>
        <v>0</v>
      </c>
      <c r="AC59" s="6">
        <f>(L59-M59)*(W59+X59)+($W$2+$X$2-$W$59-$X$59)*(L59)</f>
        <v>4878.569760000003</v>
      </c>
      <c r="AD59" s="6">
        <f t="shared" si="5"/>
        <v>0</v>
      </c>
      <c r="AE59" s="6">
        <f ca="1">(L59-M59)*(Z59+AA59)+($Z$2+$AA$2-$Z$59-$AA$59)*(L59)</f>
        <v>2785.8596858936285</v>
      </c>
      <c r="AF59" s="4" t="s">
        <v>598</v>
      </c>
    </row>
    <row r="60" spans="1:32" ht="11.25" customHeight="1" x14ac:dyDescent="0.25">
      <c r="A60" s="4" t="s">
        <v>21</v>
      </c>
      <c r="B60" s="4" t="s">
        <v>41</v>
      </c>
      <c r="C60" s="4" t="s">
        <v>23</v>
      </c>
      <c r="D60" s="4" t="s">
        <v>42</v>
      </c>
      <c r="E60" s="4" t="s">
        <v>25</v>
      </c>
      <c r="F60" s="4" t="s">
        <v>25</v>
      </c>
      <c r="G60" s="4" t="s">
        <v>25</v>
      </c>
      <c r="H60" s="4" t="s">
        <v>25</v>
      </c>
      <c r="I60" s="5">
        <v>44593</v>
      </c>
      <c r="J60" s="6">
        <v>0</v>
      </c>
      <c r="K60" s="6">
        <v>0</v>
      </c>
      <c r="L60" s="6">
        <v>61.593000000000004</v>
      </c>
      <c r="M60" s="6">
        <v>61.593000000000004</v>
      </c>
      <c r="N60" s="6">
        <v>61.593000000000004</v>
      </c>
      <c r="O60" s="6">
        <v>61.593000000000004</v>
      </c>
      <c r="P60" s="6">
        <v>37</v>
      </c>
      <c r="Q60" s="4" t="s">
        <v>26</v>
      </c>
      <c r="R60" s="4">
        <v>0</v>
      </c>
      <c r="S60" s="4">
        <v>0</v>
      </c>
      <c r="T60" s="4">
        <v>51</v>
      </c>
      <c r="U60" s="4">
        <v>44</v>
      </c>
      <c r="V60" s="6">
        <f>IF(ISERROR(VLOOKUP($S$60,'TAR FIN'!$A$1:$O$86,15,0)),0,VLOOKUP($S$60,'TAR FIN'!$A$1:$O$86,15,0))</f>
        <v>0</v>
      </c>
      <c r="W60" s="6">
        <f>IF(ISERROR(VLOOKUP($T$60,'TAR FIN'!$A$1:$O$86,15,0)),0,VLOOKUP($T$60,'TAR FIN'!$A$1:$O$86,15,0))</f>
        <v>490.02</v>
      </c>
      <c r="X60" s="6">
        <f>IF(ISERROR(VLOOKUP($U$60,'TAR FIN'!$A$1:$O$86,15,0)),0,VLOOKUP($U$60,'TAR FIN'!$A$1:$O$86,15,0))</f>
        <v>116.05</v>
      </c>
      <c r="Y60" s="6"/>
      <c r="Z60" s="6">
        <f ca="1">('TUSD BE'!$AM$33+'TUSD BF'!$AM$33+'TUSD CVA'!$AM$33)*(1-CUSTOS!$M$38)</f>
        <v>629.87923328312354</v>
      </c>
      <c r="AA60" s="6">
        <f>('TE BE'!$AB$24+'TE BF'!$AB$24+'TE CVA'!$AB$24)*(1-CUSTOS!$M$38)</f>
        <v>109.44276893593884</v>
      </c>
      <c r="AB60" s="6">
        <f t="shared" si="4"/>
        <v>0</v>
      </c>
      <c r="AC60" s="6">
        <f>(L60-M60)*(W60+X60)+($W$2+$X$2-$W$60-$X$60)*(L60)</f>
        <v>5090.0455200000042</v>
      </c>
      <c r="AD60" s="6">
        <f t="shared" si="5"/>
        <v>0</v>
      </c>
      <c r="AE60" s="6">
        <f ca="1">(L60-M60)*(Z60+AA60)+($Z$2+$AA$2-$Z$60-$AA$60)*(L60)</f>
        <v>2906.6208563411979</v>
      </c>
      <c r="AF60" s="4" t="s">
        <v>598</v>
      </c>
    </row>
    <row r="61" spans="1:32" ht="11.25" customHeight="1" x14ac:dyDescent="0.25">
      <c r="A61" s="4" t="s">
        <v>28</v>
      </c>
      <c r="B61" s="4" t="s">
        <v>41</v>
      </c>
      <c r="C61" s="4" t="s">
        <v>23</v>
      </c>
      <c r="D61" s="4" t="s">
        <v>42</v>
      </c>
      <c r="E61" s="4" t="s">
        <v>25</v>
      </c>
      <c r="F61" s="4" t="s">
        <v>25</v>
      </c>
      <c r="G61" s="4" t="s">
        <v>25</v>
      </c>
      <c r="H61" s="4" t="s">
        <v>25</v>
      </c>
      <c r="I61" s="5">
        <v>44593</v>
      </c>
      <c r="J61" s="6">
        <v>0</v>
      </c>
      <c r="K61" s="6">
        <v>0</v>
      </c>
      <c r="L61" s="6">
        <v>0.122</v>
      </c>
      <c r="M61" s="6">
        <v>0.122</v>
      </c>
      <c r="N61" s="6">
        <v>0.122</v>
      </c>
      <c r="O61" s="6">
        <v>0.122</v>
      </c>
      <c r="P61" s="6">
        <v>1</v>
      </c>
      <c r="Q61" s="4" t="s">
        <v>26</v>
      </c>
      <c r="R61" s="4">
        <v>0</v>
      </c>
      <c r="S61" s="4">
        <v>0</v>
      </c>
      <c r="T61" s="4">
        <v>51</v>
      </c>
      <c r="U61" s="4">
        <v>44</v>
      </c>
      <c r="V61" s="6">
        <f>IF(ISERROR(VLOOKUP($S$61,'TAR FIN'!$A$1:$O$86,15,0)),0,VLOOKUP($S$61,'TAR FIN'!$A$1:$O$86,15,0))</f>
        <v>0</v>
      </c>
      <c r="W61" s="6">
        <f>IF(ISERROR(VLOOKUP($T$61,'TAR FIN'!$A$1:$O$86,15,0)),0,VLOOKUP($T$61,'TAR FIN'!$A$1:$O$86,15,0))</f>
        <v>490.02</v>
      </c>
      <c r="X61" s="6">
        <f>IF(ISERROR(VLOOKUP($U$61,'TAR FIN'!$A$1:$O$86,15,0)),0,VLOOKUP($U$61,'TAR FIN'!$A$1:$O$86,15,0))</f>
        <v>116.05</v>
      </c>
      <c r="Y61" s="6"/>
      <c r="Z61" s="6">
        <f ca="1">('TUSD BE'!$AM$33+'TUSD BF'!$AM$33+'TUSD CVA'!$AM$33)*(1-CUSTOS!$M$38)</f>
        <v>629.87923328312354</v>
      </c>
      <c r="AA61" s="6">
        <f>('TE BE'!$AB$24+'TE BF'!$AB$24+'TE CVA'!$AB$24)*(1-CUSTOS!$M$38)</f>
        <v>109.44276893593884</v>
      </c>
      <c r="AB61" s="6">
        <f t="shared" si="4"/>
        <v>0</v>
      </c>
      <c r="AC61" s="6">
        <f>(L61-M61)*(W61+X61)+($W$2+$X$2-$W$61-$X$61)*(L61)</f>
        <v>10.082080000000007</v>
      </c>
      <c r="AD61" s="6">
        <f t="shared" si="5"/>
        <v>0</v>
      </c>
      <c r="AE61" s="6">
        <f ca="1">(L61-M61)*(Z61+AA61)+($Z$2+$AA$2-$Z$61-$AA$61)*(L61)</f>
        <v>5.7572734640888754</v>
      </c>
      <c r="AF61" s="4" t="s">
        <v>598</v>
      </c>
    </row>
    <row r="62" spans="1:32" ht="11.25" customHeight="1" x14ac:dyDescent="0.25">
      <c r="A62" s="4" t="s">
        <v>21</v>
      </c>
      <c r="B62" s="4" t="s">
        <v>41</v>
      </c>
      <c r="C62" s="4" t="s">
        <v>23</v>
      </c>
      <c r="D62" s="4" t="s">
        <v>42</v>
      </c>
      <c r="E62" s="4" t="s">
        <v>25</v>
      </c>
      <c r="F62" s="4" t="s">
        <v>25</v>
      </c>
      <c r="G62" s="4" t="s">
        <v>25</v>
      </c>
      <c r="H62" s="4" t="s">
        <v>25</v>
      </c>
      <c r="I62" s="5">
        <v>44621</v>
      </c>
      <c r="J62" s="6">
        <v>0</v>
      </c>
      <c r="K62" s="6">
        <v>0</v>
      </c>
      <c r="L62" s="6">
        <v>53.148000000000003</v>
      </c>
      <c r="M62" s="6">
        <v>53.148000000000003</v>
      </c>
      <c r="N62" s="6">
        <v>53.148000000000003</v>
      </c>
      <c r="O62" s="6">
        <v>53.148000000000003</v>
      </c>
      <c r="P62" s="6">
        <v>36</v>
      </c>
      <c r="Q62" s="4" t="s">
        <v>26</v>
      </c>
      <c r="R62" s="4">
        <v>0</v>
      </c>
      <c r="S62" s="4">
        <v>0</v>
      </c>
      <c r="T62" s="4">
        <v>51</v>
      </c>
      <c r="U62" s="4">
        <v>44</v>
      </c>
      <c r="V62" s="6">
        <f>IF(ISERROR(VLOOKUP($S$62,'TAR FIN'!$A$1:$O$86,15,0)),0,VLOOKUP($S$62,'TAR FIN'!$A$1:$O$86,15,0))</f>
        <v>0</v>
      </c>
      <c r="W62" s="6">
        <f>IF(ISERROR(VLOOKUP($T$62,'TAR FIN'!$A$1:$O$86,15,0)),0,VLOOKUP($T$62,'TAR FIN'!$A$1:$O$86,15,0))</f>
        <v>490.02</v>
      </c>
      <c r="X62" s="6">
        <f>IF(ISERROR(VLOOKUP($U$62,'TAR FIN'!$A$1:$O$86,15,0)),0,VLOOKUP($U$62,'TAR FIN'!$A$1:$O$86,15,0))</f>
        <v>116.05</v>
      </c>
      <c r="Y62" s="6"/>
      <c r="Z62" s="6">
        <f ca="1">('TUSD BE'!$AM$33+'TUSD BF'!$AM$33+'TUSD CVA'!$AM$33)*(1-CUSTOS!$M$38)</f>
        <v>629.87923328312354</v>
      </c>
      <c r="AA62" s="6">
        <f>('TE BE'!$AB$24+'TE BF'!$AB$24+'TE CVA'!$AB$24)*(1-CUSTOS!$M$38)</f>
        <v>109.44276893593884</v>
      </c>
      <c r="AB62" s="6">
        <f t="shared" si="4"/>
        <v>0</v>
      </c>
      <c r="AC62" s="6">
        <f>(L62-M62)*(W62+X62)+($W$2+$X$2-$W$62-$X$62)*(L62)</f>
        <v>4392.1507200000033</v>
      </c>
      <c r="AD62" s="6">
        <f t="shared" si="5"/>
        <v>0</v>
      </c>
      <c r="AE62" s="6">
        <f ca="1">(L62-M62)*(Z62+AA62)+($Z$2+$AA$2-$Z$62-$AA$62)*(L62)</f>
        <v>2508.09483663439</v>
      </c>
      <c r="AF62" s="4" t="s">
        <v>598</v>
      </c>
    </row>
    <row r="63" spans="1:32" ht="11.25" customHeight="1" x14ac:dyDescent="0.25">
      <c r="A63" s="4" t="s">
        <v>28</v>
      </c>
      <c r="B63" s="4" t="s">
        <v>41</v>
      </c>
      <c r="C63" s="4" t="s">
        <v>23</v>
      </c>
      <c r="D63" s="4" t="s">
        <v>42</v>
      </c>
      <c r="E63" s="4" t="s">
        <v>25</v>
      </c>
      <c r="F63" s="4" t="s">
        <v>25</v>
      </c>
      <c r="G63" s="4" t="s">
        <v>25</v>
      </c>
      <c r="H63" s="4" t="s">
        <v>25</v>
      </c>
      <c r="I63" s="5">
        <v>44621</v>
      </c>
      <c r="J63" s="6">
        <v>0</v>
      </c>
      <c r="K63" s="6">
        <v>0</v>
      </c>
      <c r="L63" s="6">
        <v>0.35099999999999998</v>
      </c>
      <c r="M63" s="6">
        <v>0.35099999999999998</v>
      </c>
      <c r="N63" s="6">
        <v>0.35099999999999998</v>
      </c>
      <c r="O63" s="6">
        <v>0.35099999999999998</v>
      </c>
      <c r="P63" s="6">
        <v>2</v>
      </c>
      <c r="Q63" s="4" t="s">
        <v>26</v>
      </c>
      <c r="R63" s="4">
        <v>0</v>
      </c>
      <c r="S63" s="4">
        <v>0</v>
      </c>
      <c r="T63" s="4">
        <v>51</v>
      </c>
      <c r="U63" s="4">
        <v>44</v>
      </c>
      <c r="V63" s="6">
        <f>IF(ISERROR(VLOOKUP($S$63,'TAR FIN'!$A$1:$O$86,15,0)),0,VLOOKUP($S$63,'TAR FIN'!$A$1:$O$86,15,0))</f>
        <v>0</v>
      </c>
      <c r="W63" s="6">
        <f>IF(ISERROR(VLOOKUP($T$63,'TAR FIN'!$A$1:$O$86,15,0)),0,VLOOKUP($T$63,'TAR FIN'!$A$1:$O$86,15,0))</f>
        <v>490.02</v>
      </c>
      <c r="X63" s="6">
        <f>IF(ISERROR(VLOOKUP($U$63,'TAR FIN'!$A$1:$O$86,15,0)),0,VLOOKUP($U$63,'TAR FIN'!$A$1:$O$86,15,0))</f>
        <v>116.05</v>
      </c>
      <c r="Y63" s="6"/>
      <c r="Z63" s="6">
        <f ca="1">('TUSD BE'!$AM$33+'TUSD BF'!$AM$33+'TUSD CVA'!$AM$33)*(1-CUSTOS!$M$38)</f>
        <v>629.87923328312354</v>
      </c>
      <c r="AA63" s="6">
        <f>('TE BE'!$AB$24+'TE BF'!$AB$24+'TE CVA'!$AB$24)*(1-CUSTOS!$M$38)</f>
        <v>109.44276893593884</v>
      </c>
      <c r="AB63" s="6">
        <f t="shared" si="4"/>
        <v>0</v>
      </c>
      <c r="AC63" s="6">
        <f>(L63-M63)*(W63+X63)+($W$2+$X$2-$W$63-$X$63)*(L63)</f>
        <v>29.006640000000019</v>
      </c>
      <c r="AD63" s="6">
        <f t="shared" si="5"/>
        <v>0</v>
      </c>
      <c r="AE63" s="6">
        <f ca="1">(L63-M63)*(Z63+AA63)+($Z$2+$AA$2-$Z$63-$AA$63)*(L63)</f>
        <v>16.563958900780289</v>
      </c>
      <c r="AF63" s="4" t="s">
        <v>598</v>
      </c>
    </row>
    <row r="64" spans="1:32" ht="11.25" customHeight="1" x14ac:dyDescent="0.25">
      <c r="A64" s="4" t="s">
        <v>21</v>
      </c>
      <c r="B64" s="4" t="s">
        <v>41</v>
      </c>
      <c r="C64" s="4" t="s">
        <v>23</v>
      </c>
      <c r="D64" s="4" t="s">
        <v>42</v>
      </c>
      <c r="E64" s="4" t="s">
        <v>25</v>
      </c>
      <c r="F64" s="4" t="s">
        <v>25</v>
      </c>
      <c r="G64" s="4" t="s">
        <v>25</v>
      </c>
      <c r="H64" s="4" t="s">
        <v>25</v>
      </c>
      <c r="I64" s="5">
        <v>44652</v>
      </c>
      <c r="J64" s="6">
        <v>0</v>
      </c>
      <c r="K64" s="6">
        <v>0</v>
      </c>
      <c r="L64" s="6">
        <v>53.484000000000002</v>
      </c>
      <c r="M64" s="6">
        <v>53.484000000000002</v>
      </c>
      <c r="N64" s="6">
        <v>53.484000000000002</v>
      </c>
      <c r="O64" s="6">
        <v>53.484000000000002</v>
      </c>
      <c r="P64" s="6">
        <v>36</v>
      </c>
      <c r="Q64" s="4" t="s">
        <v>26</v>
      </c>
      <c r="R64" s="4">
        <v>0</v>
      </c>
      <c r="S64" s="4">
        <v>0</v>
      </c>
      <c r="T64" s="4">
        <v>51</v>
      </c>
      <c r="U64" s="4">
        <v>44</v>
      </c>
      <c r="V64" s="6">
        <f>IF(ISERROR(VLOOKUP($S$64,'TAR FIN'!$A$1:$O$86,15,0)),0,VLOOKUP($S$64,'TAR FIN'!$A$1:$O$86,15,0))</f>
        <v>0</v>
      </c>
      <c r="W64" s="6">
        <f>IF(ISERROR(VLOOKUP($T$64,'TAR FIN'!$A$1:$O$86,15,0)),0,VLOOKUP($T$64,'TAR FIN'!$A$1:$O$86,15,0))</f>
        <v>490.02</v>
      </c>
      <c r="X64" s="6">
        <f>IF(ISERROR(VLOOKUP($U$64,'TAR FIN'!$A$1:$O$86,15,0)),0,VLOOKUP($U$64,'TAR FIN'!$A$1:$O$86,15,0))</f>
        <v>116.05</v>
      </c>
      <c r="Y64" s="6"/>
      <c r="Z64" s="6">
        <f ca="1">('TUSD BE'!$AM$33+'TUSD BF'!$AM$33+'TUSD CVA'!$AM$33)*(1-CUSTOS!$M$38)</f>
        <v>629.87923328312354</v>
      </c>
      <c r="AA64" s="6">
        <f>('TE BE'!$AB$24+'TE BF'!$AB$24+'TE CVA'!$AB$24)*(1-CUSTOS!$M$38)</f>
        <v>109.44276893593884</v>
      </c>
      <c r="AB64" s="6">
        <f t="shared" si="4"/>
        <v>0</v>
      </c>
      <c r="AC64" s="6">
        <f>(L64-M64)*(W64+X64)+($W$2+$X$2-$W$64-$X$64)*(L64)</f>
        <v>4419.917760000003</v>
      </c>
      <c r="AD64" s="6">
        <f t="shared" si="5"/>
        <v>0</v>
      </c>
      <c r="AE64" s="6">
        <f ca="1">(L64-M64)*(Z64+AA64)+($Z$2+$AA$2-$Z$64-$AA$64)*(L64)</f>
        <v>2523.9509340436839</v>
      </c>
      <c r="AF64" s="4" t="s">
        <v>598</v>
      </c>
    </row>
    <row r="65" spans="1:32" ht="11.25" customHeight="1" x14ac:dyDescent="0.25">
      <c r="A65" s="4" t="s">
        <v>28</v>
      </c>
      <c r="B65" s="4" t="s">
        <v>41</v>
      </c>
      <c r="C65" s="4" t="s">
        <v>23</v>
      </c>
      <c r="D65" s="4" t="s">
        <v>42</v>
      </c>
      <c r="E65" s="4" t="s">
        <v>25</v>
      </c>
      <c r="F65" s="4" t="s">
        <v>25</v>
      </c>
      <c r="G65" s="4" t="s">
        <v>25</v>
      </c>
      <c r="H65" s="4" t="s">
        <v>25</v>
      </c>
      <c r="I65" s="5">
        <v>44652</v>
      </c>
      <c r="J65" s="6">
        <v>0</v>
      </c>
      <c r="K65" s="6">
        <v>0</v>
      </c>
      <c r="L65" s="6">
        <v>0.42</v>
      </c>
      <c r="M65" s="6">
        <v>0.42</v>
      </c>
      <c r="N65" s="6">
        <v>0.42</v>
      </c>
      <c r="O65" s="6">
        <v>0.42</v>
      </c>
      <c r="P65" s="6">
        <v>2</v>
      </c>
      <c r="Q65" s="4" t="s">
        <v>26</v>
      </c>
      <c r="R65" s="4">
        <v>0</v>
      </c>
      <c r="S65" s="4">
        <v>0</v>
      </c>
      <c r="T65" s="4">
        <v>51</v>
      </c>
      <c r="U65" s="4">
        <v>44</v>
      </c>
      <c r="V65" s="6">
        <f>IF(ISERROR(VLOOKUP($S$65,'TAR FIN'!$A$1:$O$86,15,0)),0,VLOOKUP($S$65,'TAR FIN'!$A$1:$O$86,15,0))</f>
        <v>0</v>
      </c>
      <c r="W65" s="6">
        <f>IF(ISERROR(VLOOKUP($T$65,'TAR FIN'!$A$1:$O$86,15,0)),0,VLOOKUP($T$65,'TAR FIN'!$A$1:$O$86,15,0))</f>
        <v>490.02</v>
      </c>
      <c r="X65" s="6">
        <f>IF(ISERROR(VLOOKUP($U$65,'TAR FIN'!$A$1:$O$86,15,0)),0,VLOOKUP($U$65,'TAR FIN'!$A$1:$O$86,15,0))</f>
        <v>116.05</v>
      </c>
      <c r="Y65" s="6"/>
      <c r="Z65" s="6">
        <f ca="1">('TUSD BE'!$AM$33+'TUSD BF'!$AM$33+'TUSD CVA'!$AM$33)*(1-CUSTOS!$M$38)</f>
        <v>629.87923328312354</v>
      </c>
      <c r="AA65" s="6">
        <f>('TE BE'!$AB$24+'TE BF'!$AB$24+'TE CVA'!$AB$24)*(1-CUSTOS!$M$38)</f>
        <v>109.44276893593884</v>
      </c>
      <c r="AB65" s="6">
        <f t="shared" si="4"/>
        <v>0</v>
      </c>
      <c r="AC65" s="6">
        <f>(L65-M65)*(W65+X65)+($W$2+$X$2-$W$65-$X$65)*(L65)</f>
        <v>34.708800000000025</v>
      </c>
      <c r="AD65" s="6">
        <f t="shared" si="5"/>
        <v>0</v>
      </c>
      <c r="AE65" s="6">
        <f ca="1">(L65-M65)*(Z65+AA65)+($Z$2+$AA$2-$Z$65-$AA$65)*(L65)</f>
        <v>19.82012176161744</v>
      </c>
      <c r="AF65" s="4" t="s">
        <v>598</v>
      </c>
    </row>
    <row r="66" spans="1:32" ht="11.25" customHeight="1" x14ac:dyDescent="0.25">
      <c r="A66" s="4" t="s">
        <v>21</v>
      </c>
      <c r="B66" s="4" t="s">
        <v>41</v>
      </c>
      <c r="C66" s="4" t="s">
        <v>23</v>
      </c>
      <c r="D66" s="4" t="s">
        <v>42</v>
      </c>
      <c r="E66" s="4" t="s">
        <v>25</v>
      </c>
      <c r="F66" s="4" t="s">
        <v>25</v>
      </c>
      <c r="G66" s="4" t="s">
        <v>25</v>
      </c>
      <c r="H66" s="4" t="s">
        <v>25</v>
      </c>
      <c r="I66" s="5">
        <v>44682</v>
      </c>
      <c r="J66" s="6">
        <v>0</v>
      </c>
      <c r="K66" s="6">
        <v>0</v>
      </c>
      <c r="L66" s="6">
        <v>53.984999999999999</v>
      </c>
      <c r="M66" s="6">
        <v>53.984999999999999</v>
      </c>
      <c r="N66" s="6">
        <v>53.984999999999999</v>
      </c>
      <c r="O66" s="6">
        <v>53.984999999999999</v>
      </c>
      <c r="P66" s="6">
        <v>35</v>
      </c>
      <c r="Q66" s="4" t="s">
        <v>26</v>
      </c>
      <c r="R66" s="4">
        <v>0</v>
      </c>
      <c r="S66" s="4">
        <v>0</v>
      </c>
      <c r="T66" s="4">
        <v>51</v>
      </c>
      <c r="U66" s="4">
        <v>44</v>
      </c>
      <c r="V66" s="6">
        <f>IF(ISERROR(VLOOKUP($S$66,'TAR FIN'!$A$1:$O$86,15,0)),0,VLOOKUP($S$66,'TAR FIN'!$A$1:$O$86,15,0))</f>
        <v>0</v>
      </c>
      <c r="W66" s="6">
        <f>IF(ISERROR(VLOOKUP($T$66,'TAR FIN'!$A$1:$O$86,15,0)),0,VLOOKUP($T$66,'TAR FIN'!$A$1:$O$86,15,0))</f>
        <v>490.02</v>
      </c>
      <c r="X66" s="6">
        <f>IF(ISERROR(VLOOKUP($U$66,'TAR FIN'!$A$1:$O$86,15,0)),0,VLOOKUP($U$66,'TAR FIN'!$A$1:$O$86,15,0))</f>
        <v>116.05</v>
      </c>
      <c r="Y66" s="6"/>
      <c r="Z66" s="6">
        <f ca="1">('TUSD BE'!$AM$33+'TUSD BF'!$AM$33+'TUSD CVA'!$AM$33)*(1-CUSTOS!$M$38)</f>
        <v>629.87923328312354</v>
      </c>
      <c r="AA66" s="6">
        <f>('TE BE'!$AB$24+'TE BF'!$AB$24+'TE CVA'!$AB$24)*(1-CUSTOS!$M$38)</f>
        <v>109.44276893593884</v>
      </c>
      <c r="AB66" s="6">
        <f t="shared" ref="AB66:AB69" si="6">(J66-K66)*V66</f>
        <v>0</v>
      </c>
      <c r="AC66" s="6">
        <f>(L66-M66)*(W66+X66)+($W$2+$X$2-$W$66-$X$66)*(L66)</f>
        <v>4461.3204000000032</v>
      </c>
      <c r="AD66" s="6">
        <f t="shared" ref="AD66:AD69" si="7">(J66-K66)*Y66</f>
        <v>0</v>
      </c>
      <c r="AE66" s="6">
        <f ca="1">(L66-M66)*(Z66+AA66)+($Z$2+$AA$2-$Z$66-$AA$66)*(L66)</f>
        <v>2547.5935078593275</v>
      </c>
      <c r="AF66" s="4" t="s">
        <v>598</v>
      </c>
    </row>
    <row r="67" spans="1:32" ht="11.25" customHeight="1" x14ac:dyDescent="0.25">
      <c r="A67" s="4" t="s">
        <v>28</v>
      </c>
      <c r="B67" s="4" t="s">
        <v>41</v>
      </c>
      <c r="C67" s="4" t="s">
        <v>23</v>
      </c>
      <c r="D67" s="4" t="s">
        <v>42</v>
      </c>
      <c r="E67" s="4" t="s">
        <v>25</v>
      </c>
      <c r="F67" s="4" t="s">
        <v>25</v>
      </c>
      <c r="G67" s="4" t="s">
        <v>25</v>
      </c>
      <c r="H67" s="4" t="s">
        <v>25</v>
      </c>
      <c r="I67" s="5">
        <v>44682</v>
      </c>
      <c r="J67" s="6">
        <v>0</v>
      </c>
      <c r="K67" s="6">
        <v>0</v>
      </c>
      <c r="L67" s="6">
        <v>0.63</v>
      </c>
      <c r="M67" s="6">
        <v>0.63</v>
      </c>
      <c r="N67" s="6">
        <v>0.63</v>
      </c>
      <c r="O67" s="6">
        <v>0.63</v>
      </c>
      <c r="P67" s="6">
        <v>3</v>
      </c>
      <c r="Q67" s="4" t="s">
        <v>26</v>
      </c>
      <c r="R67" s="4">
        <v>0</v>
      </c>
      <c r="S67" s="4">
        <v>0</v>
      </c>
      <c r="T67" s="4">
        <v>51</v>
      </c>
      <c r="U67" s="4">
        <v>44</v>
      </c>
      <c r="V67" s="6">
        <f>IF(ISERROR(VLOOKUP($S$67,'TAR FIN'!$A$1:$O$86,15,0)),0,VLOOKUP($S$67,'TAR FIN'!$A$1:$O$86,15,0))</f>
        <v>0</v>
      </c>
      <c r="W67" s="6">
        <f>IF(ISERROR(VLOOKUP($T$67,'TAR FIN'!$A$1:$O$86,15,0)),0,VLOOKUP($T$67,'TAR FIN'!$A$1:$O$86,15,0))</f>
        <v>490.02</v>
      </c>
      <c r="X67" s="6">
        <f>IF(ISERROR(VLOOKUP($U$67,'TAR FIN'!$A$1:$O$86,15,0)),0,VLOOKUP($U$67,'TAR FIN'!$A$1:$O$86,15,0))</f>
        <v>116.05</v>
      </c>
      <c r="Y67" s="6"/>
      <c r="Z67" s="6">
        <f ca="1">('TUSD BE'!$AM$33+'TUSD BF'!$AM$33+'TUSD CVA'!$AM$33)*(1-CUSTOS!$M$38)</f>
        <v>629.87923328312354</v>
      </c>
      <c r="AA67" s="6">
        <f>('TE BE'!$AB$24+'TE BF'!$AB$24+'TE CVA'!$AB$24)*(1-CUSTOS!$M$38)</f>
        <v>109.44276893593884</v>
      </c>
      <c r="AB67" s="6">
        <f t="shared" si="6"/>
        <v>0</v>
      </c>
      <c r="AC67" s="6">
        <f>(L67-M67)*(W67+X67)+($W$2+$X$2-$W$67-$X$67)*(L67)</f>
        <v>52.063200000000037</v>
      </c>
      <c r="AD67" s="6">
        <f t="shared" si="7"/>
        <v>0</v>
      </c>
      <c r="AE67" s="6">
        <f ca="1">(L67-M67)*(Z67+AA67)+($Z$2+$AA$2-$Z$67-$AA$67)*(L67)</f>
        <v>29.730182642426161</v>
      </c>
      <c r="AF67" s="4" t="s">
        <v>598</v>
      </c>
    </row>
    <row r="68" spans="1:32" ht="11.25" customHeight="1" x14ac:dyDescent="0.25">
      <c r="A68" s="4" t="s">
        <v>21</v>
      </c>
      <c r="B68" s="4" t="s">
        <v>41</v>
      </c>
      <c r="C68" s="4" t="s">
        <v>23</v>
      </c>
      <c r="D68" s="4" t="s">
        <v>42</v>
      </c>
      <c r="E68" s="4" t="s">
        <v>25</v>
      </c>
      <c r="F68" s="4" t="s">
        <v>25</v>
      </c>
      <c r="G68" s="4" t="s">
        <v>25</v>
      </c>
      <c r="H68" s="4" t="s">
        <v>25</v>
      </c>
      <c r="I68" s="5">
        <v>44713</v>
      </c>
      <c r="J68" s="6">
        <v>0</v>
      </c>
      <c r="K68" s="6">
        <v>0</v>
      </c>
      <c r="L68" s="6">
        <v>54.271000000000001</v>
      </c>
      <c r="M68" s="6">
        <v>54.271000000000001</v>
      </c>
      <c r="N68" s="6">
        <v>54.271000000000001</v>
      </c>
      <c r="O68" s="6">
        <v>54.271000000000001</v>
      </c>
      <c r="P68" s="6">
        <v>35</v>
      </c>
      <c r="Q68" s="4" t="s">
        <v>26</v>
      </c>
      <c r="R68" s="4">
        <v>0</v>
      </c>
      <c r="S68" s="4">
        <v>0</v>
      </c>
      <c r="T68" s="4">
        <v>51</v>
      </c>
      <c r="U68" s="4">
        <v>44</v>
      </c>
      <c r="V68" s="6">
        <f>IF(ISERROR(VLOOKUP($S$68,'TAR FIN'!$A$1:$O$86,15,0)),0,VLOOKUP($S$68,'TAR FIN'!$A$1:$O$86,15,0))</f>
        <v>0</v>
      </c>
      <c r="W68" s="6">
        <f>IF(ISERROR(VLOOKUP($T$68,'TAR FIN'!$A$1:$O$86,15,0)),0,VLOOKUP($T$68,'TAR FIN'!$A$1:$O$86,15,0))</f>
        <v>490.02</v>
      </c>
      <c r="X68" s="6">
        <f>IF(ISERROR(VLOOKUP($U$68,'TAR FIN'!$A$1:$O$86,15,0)),0,VLOOKUP($U$68,'TAR FIN'!$A$1:$O$86,15,0))</f>
        <v>116.05</v>
      </c>
      <c r="Y68" s="6"/>
      <c r="Z68" s="6">
        <f ca="1">('TUSD BE'!$AM$33+'TUSD BF'!$AM$33+'TUSD CVA'!$AM$33)*(1-CUSTOS!$M$38)</f>
        <v>629.87923328312354</v>
      </c>
      <c r="AA68" s="6">
        <f>('TE BE'!$AB$24+'TE BF'!$AB$24+'TE CVA'!$AB$24)*(1-CUSTOS!$M$38)</f>
        <v>109.44276893593884</v>
      </c>
      <c r="AB68" s="6">
        <f t="shared" si="6"/>
        <v>0</v>
      </c>
      <c r="AC68" s="6">
        <f>(L68-M68)*(W68+X68)+($W$2+$X$2-$W$68-$X$68)*(L68)</f>
        <v>4484.9554400000034</v>
      </c>
      <c r="AD68" s="6">
        <f t="shared" si="7"/>
        <v>0</v>
      </c>
      <c r="AE68" s="6">
        <f ca="1">(L68-M68)*(Z68+AA68)+($Z$2+$AA$2-$Z$68-$AA$68)*(L68)</f>
        <v>2561.0900669636671</v>
      </c>
      <c r="AF68" s="4" t="s">
        <v>598</v>
      </c>
    </row>
    <row r="69" spans="1:32" ht="11.25" customHeight="1" x14ac:dyDescent="0.25">
      <c r="A69" s="4" t="s">
        <v>28</v>
      </c>
      <c r="B69" s="4" t="s">
        <v>41</v>
      </c>
      <c r="C69" s="4" t="s">
        <v>23</v>
      </c>
      <c r="D69" s="4" t="s">
        <v>42</v>
      </c>
      <c r="E69" s="4" t="s">
        <v>25</v>
      </c>
      <c r="F69" s="4" t="s">
        <v>25</v>
      </c>
      <c r="G69" s="4" t="s">
        <v>25</v>
      </c>
      <c r="H69" s="4" t="s">
        <v>25</v>
      </c>
      <c r="I69" s="5">
        <v>44713</v>
      </c>
      <c r="J69" s="6">
        <v>0</v>
      </c>
      <c r="K69" s="6">
        <v>0</v>
      </c>
      <c r="L69" s="6">
        <v>0.56699999999999995</v>
      </c>
      <c r="M69" s="6">
        <v>0.56699999999999995</v>
      </c>
      <c r="N69" s="6">
        <v>0.56699999999999995</v>
      </c>
      <c r="O69" s="6">
        <v>0.56699999999999995</v>
      </c>
      <c r="P69" s="6">
        <v>3</v>
      </c>
      <c r="Q69" s="4" t="s">
        <v>26</v>
      </c>
      <c r="R69" s="4">
        <v>0</v>
      </c>
      <c r="S69" s="4">
        <v>0</v>
      </c>
      <c r="T69" s="4">
        <v>51</v>
      </c>
      <c r="U69" s="4">
        <v>44</v>
      </c>
      <c r="V69" s="6">
        <f>IF(ISERROR(VLOOKUP($S$69,'TAR FIN'!$A$1:$O$86,15,0)),0,VLOOKUP($S$69,'TAR FIN'!$A$1:$O$86,15,0))</f>
        <v>0</v>
      </c>
      <c r="W69" s="6">
        <f>IF(ISERROR(VLOOKUP($T$69,'TAR FIN'!$A$1:$O$86,15,0)),0,VLOOKUP($T$69,'TAR FIN'!$A$1:$O$86,15,0))</f>
        <v>490.02</v>
      </c>
      <c r="X69" s="6">
        <f>IF(ISERROR(VLOOKUP($U$69,'TAR FIN'!$A$1:$O$86,15,0)),0,VLOOKUP($U$69,'TAR FIN'!$A$1:$O$86,15,0))</f>
        <v>116.05</v>
      </c>
      <c r="Y69" s="6"/>
      <c r="Z69" s="6">
        <f ca="1">('TUSD BE'!$AM$33+'TUSD BF'!$AM$33+'TUSD CVA'!$AM$33)*(1-CUSTOS!$M$38)</f>
        <v>629.87923328312354</v>
      </c>
      <c r="AA69" s="6">
        <f>('TE BE'!$AB$24+'TE BF'!$AB$24+'TE CVA'!$AB$24)*(1-CUSTOS!$M$38)</f>
        <v>109.44276893593884</v>
      </c>
      <c r="AB69" s="6">
        <f t="shared" si="6"/>
        <v>0</v>
      </c>
      <c r="AC69" s="6">
        <f>(L69-M69)*(W69+X69)+($W$2+$X$2-$W$69-$X$69)*(L69)</f>
        <v>46.856880000000025</v>
      </c>
      <c r="AD69" s="6">
        <f t="shared" si="7"/>
        <v>0</v>
      </c>
      <c r="AE69" s="6">
        <f ca="1">(L69-M69)*(Z69+AA69)+($Z$2+$AA$2-$Z$69-$AA$69)*(L69)</f>
        <v>26.757164378183543</v>
      </c>
      <c r="AF69" s="4" t="s">
        <v>598</v>
      </c>
    </row>
    <row r="70" spans="1:32" ht="11.25" customHeight="1" x14ac:dyDescent="0.25">
      <c r="A70" s="4" t="s">
        <v>21</v>
      </c>
      <c r="B70" s="4" t="s">
        <v>37</v>
      </c>
      <c r="C70" s="4" t="s">
        <v>23</v>
      </c>
      <c r="D70" s="4" t="s">
        <v>47</v>
      </c>
      <c r="E70" s="4" t="s">
        <v>48</v>
      </c>
      <c r="F70" s="4" t="s">
        <v>25</v>
      </c>
      <c r="G70" s="4" t="s">
        <v>25</v>
      </c>
      <c r="H70" s="4" t="s">
        <v>25</v>
      </c>
      <c r="I70" s="5">
        <v>44378</v>
      </c>
      <c r="J70" s="6">
        <v>0</v>
      </c>
      <c r="K70" s="58">
        <v>0</v>
      </c>
      <c r="L70" s="6">
        <v>5.45</v>
      </c>
      <c r="M70" s="58">
        <v>5.45</v>
      </c>
      <c r="N70" s="6">
        <v>5.45</v>
      </c>
      <c r="O70" s="58">
        <v>5.45</v>
      </c>
      <c r="P70" s="6">
        <v>1</v>
      </c>
      <c r="Q70" s="4" t="s">
        <v>26</v>
      </c>
      <c r="R70" s="4">
        <v>0</v>
      </c>
      <c r="S70" s="4">
        <v>0</v>
      </c>
      <c r="T70" s="4">
        <v>40</v>
      </c>
      <c r="U70" s="4">
        <v>83</v>
      </c>
      <c r="V70" s="58">
        <f>IF(ISERROR(VLOOKUP($S$70,'TAR FIN'!$A$1:$O$86,15,0)),0,VLOOKUP($S$70,'TAR FIN'!$A$1:$O$86,15,0))</f>
        <v>0</v>
      </c>
      <c r="W70" s="58">
        <f>IF(ISERROR(VLOOKUP($T$70,'TAR FIN'!$A$1:$O$86,15,0)),0,VLOOKUP($T$70,'TAR FIN'!$A$1:$O$86,15,0))*(1-0.06)</f>
        <v>523.42960000000005</v>
      </c>
      <c r="X70" s="58">
        <f>IF(ISERROR(VLOOKUP($U$70,'TAR FIN'!$A$1:$O$86,15,0)),0,VLOOKUP($U$70,'TAR FIN'!$A$1:$O$86,15,0))*(1-0.06)</f>
        <v>123.95779999999999</v>
      </c>
      <c r="Y70" s="58"/>
      <c r="Z70" s="58">
        <f ca="1">('TUSD BE'!$AM$48+'TUSD BF'!$AM$48+'TUSD CVA'!$AM$48)*1*(1-0.03)</f>
        <v>649.98176200492537</v>
      </c>
      <c r="AA70" s="58">
        <f>('TE BE'!$AB$39+'TE BF'!$AB$39+'TE CVA'!$AB$39)*1*(1-0.03)</f>
        <v>112.93562326368158</v>
      </c>
      <c r="AB70" s="58">
        <f>(SUBSIDIO!$J$70*SUBSIDIO!$V$70)*(0.06)/(1-0.06)</f>
        <v>0</v>
      </c>
      <c r="AC70" s="58">
        <f>((SUBSIDIO!$L$70*SUBSIDIO!$W$70)+(SUBSIDIO!$N$70*SUBSIDIO!$X$70))*(0.06)/(1-0.06)</f>
        <v>225.20817000000002</v>
      </c>
      <c r="AD70" s="58">
        <f>(SUBSIDIO!$J$70*SUBSIDIO!$Y$70)*(0.03)/(1-0.03)</f>
        <v>0</v>
      </c>
      <c r="AE70" s="58">
        <f ca="1">((SUBSIDIO!$L$70*SUBSIDIO!$Z$70)+(SUBSIDIO!$N$70*SUBSIDIO!$AA$70))*(0.03)/(1-0.03)</f>
        <v>128.59483762001778</v>
      </c>
      <c r="AF70" s="4" t="s">
        <v>599</v>
      </c>
    </row>
    <row r="71" spans="1:32" ht="11.25" customHeight="1" x14ac:dyDescent="0.25">
      <c r="A71" s="4" t="s">
        <v>21</v>
      </c>
      <c r="B71" s="4" t="s">
        <v>37</v>
      </c>
      <c r="C71" s="4" t="s">
        <v>23</v>
      </c>
      <c r="D71" s="4" t="s">
        <v>47</v>
      </c>
      <c r="E71" s="4" t="s">
        <v>48</v>
      </c>
      <c r="F71" s="4" t="s">
        <v>25</v>
      </c>
      <c r="G71" s="4" t="s">
        <v>25</v>
      </c>
      <c r="H71" s="4" t="s">
        <v>25</v>
      </c>
      <c r="I71" s="5">
        <v>44409</v>
      </c>
      <c r="J71" s="6">
        <v>0</v>
      </c>
      <c r="K71" s="58">
        <v>0</v>
      </c>
      <c r="L71" s="6">
        <v>6.55</v>
      </c>
      <c r="M71" s="58">
        <v>6.55</v>
      </c>
      <c r="N71" s="6">
        <v>6.55</v>
      </c>
      <c r="O71" s="58">
        <v>6.55</v>
      </c>
      <c r="P71" s="6">
        <v>1</v>
      </c>
      <c r="Q71" s="4" t="s">
        <v>26</v>
      </c>
      <c r="R71" s="4">
        <v>0</v>
      </c>
      <c r="S71" s="4">
        <v>0</v>
      </c>
      <c r="T71" s="4">
        <v>40</v>
      </c>
      <c r="U71" s="4">
        <v>83</v>
      </c>
      <c r="V71" s="58">
        <f>IF(ISERROR(VLOOKUP($S$71,'TAR FIN'!$A$1:$O$86,15,0)),0,VLOOKUP($S$71,'TAR FIN'!$A$1:$O$86,15,0))</f>
        <v>0</v>
      </c>
      <c r="W71" s="58">
        <f>IF(ISERROR(VLOOKUP($T$71,'TAR FIN'!$A$1:$O$86,15,0)),0,VLOOKUP($T$71,'TAR FIN'!$A$1:$O$86,15,0))*(1-0.06)</f>
        <v>523.42960000000005</v>
      </c>
      <c r="X71" s="58">
        <f>IF(ISERROR(VLOOKUP($U$71,'TAR FIN'!$A$1:$O$86,15,0)),0,VLOOKUP($U$71,'TAR FIN'!$A$1:$O$86,15,0))*(1-0.06)</f>
        <v>123.95779999999999</v>
      </c>
      <c r="Y71" s="58"/>
      <c r="Z71" s="58">
        <f ca="1">('TUSD BE'!$AM$48+'TUSD BF'!$AM$48+'TUSD CVA'!$AM$48)*1*(1-0.03)</f>
        <v>649.98176200492537</v>
      </c>
      <c r="AA71" s="58">
        <f>('TE BE'!$AB$39+'TE BF'!$AB$39+'TE CVA'!$AB$39)*1*(1-0.03)</f>
        <v>112.93562326368158</v>
      </c>
      <c r="AB71" s="58">
        <f>(SUBSIDIO!$J$71*SUBSIDIO!$V$71)*(0.06)/(1-0.06)</f>
        <v>0</v>
      </c>
      <c r="AC71" s="58">
        <f>((SUBSIDIO!$L$71*SUBSIDIO!$W$71)+(SUBSIDIO!$N$71*SUBSIDIO!$X$71))*(0.06)/(1-0.06)</f>
        <v>270.66302999999999</v>
      </c>
      <c r="AD71" s="58">
        <f>(SUBSIDIO!$J$71*SUBSIDIO!$Y$71)*(0.03)/(1-0.03)</f>
        <v>0</v>
      </c>
      <c r="AE71" s="58">
        <f ca="1">((SUBSIDIO!$L$71*SUBSIDIO!$Z$71)+(SUBSIDIO!$N$71*SUBSIDIO!$AA$71))*(0.03)/(1-0.03)</f>
        <v>154.54975897451675</v>
      </c>
      <c r="AF71" s="4" t="s">
        <v>599</v>
      </c>
    </row>
    <row r="72" spans="1:32" ht="11.25" customHeight="1" x14ac:dyDescent="0.25">
      <c r="A72" s="4" t="s">
        <v>21</v>
      </c>
      <c r="B72" s="4" t="s">
        <v>37</v>
      </c>
      <c r="C72" s="4" t="s">
        <v>23</v>
      </c>
      <c r="D72" s="4" t="s">
        <v>47</v>
      </c>
      <c r="E72" s="4" t="s">
        <v>48</v>
      </c>
      <c r="F72" s="4" t="s">
        <v>25</v>
      </c>
      <c r="G72" s="4" t="s">
        <v>25</v>
      </c>
      <c r="H72" s="4" t="s">
        <v>25</v>
      </c>
      <c r="I72" s="5">
        <v>44440</v>
      </c>
      <c r="J72" s="6">
        <v>0</v>
      </c>
      <c r="K72" s="58">
        <v>0</v>
      </c>
      <c r="L72" s="6">
        <v>6.35</v>
      </c>
      <c r="M72" s="58">
        <v>6.35</v>
      </c>
      <c r="N72" s="6">
        <v>6.35</v>
      </c>
      <c r="O72" s="58">
        <v>6.35</v>
      </c>
      <c r="P72" s="6">
        <v>1</v>
      </c>
      <c r="Q72" s="4" t="s">
        <v>26</v>
      </c>
      <c r="R72" s="4">
        <v>0</v>
      </c>
      <c r="S72" s="4">
        <v>0</v>
      </c>
      <c r="T72" s="4">
        <v>40</v>
      </c>
      <c r="U72" s="4">
        <v>83</v>
      </c>
      <c r="V72" s="58">
        <f>IF(ISERROR(VLOOKUP($S$72,'TAR FIN'!$A$1:$O$86,15,0)),0,VLOOKUP($S$72,'TAR FIN'!$A$1:$O$86,15,0))</f>
        <v>0</v>
      </c>
      <c r="W72" s="58">
        <f>IF(ISERROR(VLOOKUP($T$72,'TAR FIN'!$A$1:$O$86,15,0)),0,VLOOKUP($T$72,'TAR FIN'!$A$1:$O$86,15,0))*(1-0.06)</f>
        <v>523.42960000000005</v>
      </c>
      <c r="X72" s="58">
        <f>IF(ISERROR(VLOOKUP($U$72,'TAR FIN'!$A$1:$O$86,15,0)),0,VLOOKUP($U$72,'TAR FIN'!$A$1:$O$86,15,0))*(1-0.06)</f>
        <v>123.95779999999999</v>
      </c>
      <c r="Y72" s="58"/>
      <c r="Z72" s="58">
        <f ca="1">('TUSD BE'!$AM$48+'TUSD BF'!$AM$48+'TUSD CVA'!$AM$48)*1*(1-0.03)</f>
        <v>649.98176200492537</v>
      </c>
      <c r="AA72" s="58">
        <f>('TE BE'!$AB$39+'TE BF'!$AB$39+'TE CVA'!$AB$39)*1*(1-0.03)</f>
        <v>112.93562326368158</v>
      </c>
      <c r="AB72" s="58">
        <f>(SUBSIDIO!$J$72*SUBSIDIO!$V$72)*(0.06)/(1-0.06)</f>
        <v>0</v>
      </c>
      <c r="AC72" s="58">
        <f>((SUBSIDIO!$L$72*SUBSIDIO!$W$72)+(SUBSIDIO!$N$72*SUBSIDIO!$X$72))*(0.06)/(1-0.06)</f>
        <v>262.39850999999999</v>
      </c>
      <c r="AD72" s="58">
        <f>(SUBSIDIO!$J$72*SUBSIDIO!$Y$72)*(0.03)/(1-0.03)</f>
        <v>0</v>
      </c>
      <c r="AE72" s="58">
        <f ca="1">((SUBSIDIO!$L$72*SUBSIDIO!$Z$72)+(SUBSIDIO!$N$72*SUBSIDIO!$AA$72))*(0.03)/(1-0.03)</f>
        <v>149.83068236460784</v>
      </c>
      <c r="AF72" s="4" t="s">
        <v>599</v>
      </c>
    </row>
    <row r="73" spans="1:32" ht="11.25" customHeight="1" x14ac:dyDescent="0.25">
      <c r="A73" s="4" t="s">
        <v>21</v>
      </c>
      <c r="B73" s="4" t="s">
        <v>37</v>
      </c>
      <c r="C73" s="4" t="s">
        <v>23</v>
      </c>
      <c r="D73" s="4" t="s">
        <v>47</v>
      </c>
      <c r="E73" s="4" t="s">
        <v>48</v>
      </c>
      <c r="F73" s="4" t="s">
        <v>25</v>
      </c>
      <c r="G73" s="4" t="s">
        <v>25</v>
      </c>
      <c r="H73" s="4" t="s">
        <v>25</v>
      </c>
      <c r="I73" s="5">
        <v>44470</v>
      </c>
      <c r="J73" s="6">
        <v>0</v>
      </c>
      <c r="K73" s="58">
        <v>0</v>
      </c>
      <c r="L73" s="6">
        <v>7.25</v>
      </c>
      <c r="M73" s="58">
        <v>7.25</v>
      </c>
      <c r="N73" s="6">
        <v>7.25</v>
      </c>
      <c r="O73" s="58">
        <v>7.25</v>
      </c>
      <c r="P73" s="6">
        <v>1</v>
      </c>
      <c r="Q73" s="4" t="s">
        <v>26</v>
      </c>
      <c r="R73" s="4">
        <v>0</v>
      </c>
      <c r="S73" s="4">
        <v>0</v>
      </c>
      <c r="T73" s="4">
        <v>40</v>
      </c>
      <c r="U73" s="4">
        <v>83</v>
      </c>
      <c r="V73" s="58">
        <f>IF(ISERROR(VLOOKUP($S$73,'TAR FIN'!$A$1:$O$86,15,0)),0,VLOOKUP($S$73,'TAR FIN'!$A$1:$O$86,15,0))</f>
        <v>0</v>
      </c>
      <c r="W73" s="58">
        <f>IF(ISERROR(VLOOKUP($T$73,'TAR FIN'!$A$1:$O$86,15,0)),0,VLOOKUP($T$73,'TAR FIN'!$A$1:$O$86,15,0))*(1-0.06)</f>
        <v>523.42960000000005</v>
      </c>
      <c r="X73" s="58">
        <f>IF(ISERROR(VLOOKUP($U$73,'TAR FIN'!$A$1:$O$86,15,0)),0,VLOOKUP($U$73,'TAR FIN'!$A$1:$O$86,15,0))*(1-0.06)</f>
        <v>123.95779999999999</v>
      </c>
      <c r="Y73" s="58"/>
      <c r="Z73" s="58">
        <f ca="1">('TUSD BE'!$AM$48+'TUSD BF'!$AM$48+'TUSD CVA'!$AM$48)*1*(1-0.03)</f>
        <v>649.98176200492537</v>
      </c>
      <c r="AA73" s="58">
        <f>('TE BE'!$AB$39+'TE BF'!$AB$39+'TE CVA'!$AB$39)*1*(1-0.03)</f>
        <v>112.93562326368158</v>
      </c>
      <c r="AB73" s="58">
        <f>(SUBSIDIO!$J$73*SUBSIDIO!$V$73)*(0.06)/(1-0.06)</f>
        <v>0</v>
      </c>
      <c r="AC73" s="58">
        <f>((SUBSIDIO!$L$73*SUBSIDIO!$W$73)+(SUBSIDIO!$N$73*SUBSIDIO!$X$73))*(0.06)/(1-0.06)</f>
        <v>299.58885000000004</v>
      </c>
      <c r="AD73" s="58">
        <f>(SUBSIDIO!$J$73*SUBSIDIO!$Y$73)*(0.03)/(1-0.03)</f>
        <v>0</v>
      </c>
      <c r="AE73" s="58">
        <f ca="1">((SUBSIDIO!$L$73*SUBSIDIO!$Z$73)+(SUBSIDIO!$N$73*SUBSIDIO!$AA$73))*(0.03)/(1-0.03)</f>
        <v>171.06652710919795</v>
      </c>
      <c r="AF73" s="4" t="s">
        <v>599</v>
      </c>
    </row>
    <row r="74" spans="1:32" ht="11.25" customHeight="1" x14ac:dyDescent="0.25">
      <c r="A74" s="4" t="s">
        <v>21</v>
      </c>
      <c r="B74" s="4" t="s">
        <v>37</v>
      </c>
      <c r="C74" s="4" t="s">
        <v>23</v>
      </c>
      <c r="D74" s="4" t="s">
        <v>47</v>
      </c>
      <c r="E74" s="4" t="s">
        <v>48</v>
      </c>
      <c r="F74" s="4" t="s">
        <v>25</v>
      </c>
      <c r="G74" s="4" t="s">
        <v>25</v>
      </c>
      <c r="H74" s="4" t="s">
        <v>25</v>
      </c>
      <c r="I74" s="5">
        <v>44501</v>
      </c>
      <c r="J74" s="6">
        <v>0</v>
      </c>
      <c r="K74" s="58">
        <v>0</v>
      </c>
      <c r="L74" s="6">
        <v>7.2</v>
      </c>
      <c r="M74" s="58">
        <v>7.2</v>
      </c>
      <c r="N74" s="6">
        <v>7.2</v>
      </c>
      <c r="O74" s="58">
        <v>7.2</v>
      </c>
      <c r="P74" s="6">
        <v>1</v>
      </c>
      <c r="Q74" s="4" t="s">
        <v>26</v>
      </c>
      <c r="R74" s="4">
        <v>0</v>
      </c>
      <c r="S74" s="4">
        <v>0</v>
      </c>
      <c r="T74" s="4">
        <v>40</v>
      </c>
      <c r="U74" s="4">
        <v>83</v>
      </c>
      <c r="V74" s="58">
        <f>IF(ISERROR(VLOOKUP($S$74,'TAR FIN'!$A$1:$O$86,15,0)),0,VLOOKUP($S$74,'TAR FIN'!$A$1:$O$86,15,0))</f>
        <v>0</v>
      </c>
      <c r="W74" s="58">
        <f>IF(ISERROR(VLOOKUP($T$74,'TAR FIN'!$A$1:$O$86,15,0)),0,VLOOKUP($T$74,'TAR FIN'!$A$1:$O$86,15,0))*(1-0.06)</f>
        <v>523.42960000000005</v>
      </c>
      <c r="X74" s="58">
        <f>IF(ISERROR(VLOOKUP($U$74,'TAR FIN'!$A$1:$O$86,15,0)),0,VLOOKUP($U$74,'TAR FIN'!$A$1:$O$86,15,0))*(1-0.06)</f>
        <v>123.95779999999999</v>
      </c>
      <c r="Y74" s="58"/>
      <c r="Z74" s="58">
        <f ca="1">('TUSD BE'!$AM$48+'TUSD BF'!$AM$48+'TUSD CVA'!$AM$48)*1*(1-0.03)</f>
        <v>649.98176200492537</v>
      </c>
      <c r="AA74" s="58">
        <f>('TE BE'!$AB$39+'TE BF'!$AB$39+'TE CVA'!$AB$39)*1*(1-0.03)</f>
        <v>112.93562326368158</v>
      </c>
      <c r="AB74" s="58">
        <f>(SUBSIDIO!$J$74*SUBSIDIO!$V$74)*(0.06)/(1-0.06)</f>
        <v>0</v>
      </c>
      <c r="AC74" s="58">
        <f>((SUBSIDIO!$L$74*SUBSIDIO!$W$74)+(SUBSIDIO!$N$74*SUBSIDIO!$X$74))*(0.06)/(1-0.06)</f>
        <v>297.52272000000005</v>
      </c>
      <c r="AD74" s="58">
        <f>(SUBSIDIO!$J$74*SUBSIDIO!$Y$74)*(0.03)/(1-0.03)</f>
        <v>0</v>
      </c>
      <c r="AE74" s="58">
        <f ca="1">((SUBSIDIO!$L$74*SUBSIDIO!$Z$74)+(SUBSIDIO!$N$74*SUBSIDIO!$AA$74))*(0.03)/(1-0.03)</f>
        <v>169.88675795672074</v>
      </c>
      <c r="AF74" s="4" t="s">
        <v>599</v>
      </c>
    </row>
    <row r="75" spans="1:32" ht="11.25" customHeight="1" x14ac:dyDescent="0.25">
      <c r="A75" s="4" t="s">
        <v>21</v>
      </c>
      <c r="B75" s="4" t="s">
        <v>37</v>
      </c>
      <c r="C75" s="4" t="s">
        <v>23</v>
      </c>
      <c r="D75" s="4" t="s">
        <v>47</v>
      </c>
      <c r="E75" s="4" t="s">
        <v>48</v>
      </c>
      <c r="F75" s="4" t="s">
        <v>25</v>
      </c>
      <c r="G75" s="4" t="s">
        <v>25</v>
      </c>
      <c r="H75" s="4" t="s">
        <v>25</v>
      </c>
      <c r="I75" s="5">
        <v>44531</v>
      </c>
      <c r="J75" s="6">
        <v>0</v>
      </c>
      <c r="K75" s="58">
        <v>0</v>
      </c>
      <c r="L75" s="6">
        <v>6.25</v>
      </c>
      <c r="M75" s="58">
        <v>6.25</v>
      </c>
      <c r="N75" s="6">
        <v>6.25</v>
      </c>
      <c r="O75" s="58">
        <v>6.25</v>
      </c>
      <c r="P75" s="6">
        <v>1</v>
      </c>
      <c r="Q75" s="4" t="s">
        <v>26</v>
      </c>
      <c r="R75" s="4">
        <v>0</v>
      </c>
      <c r="S75" s="4">
        <v>0</v>
      </c>
      <c r="T75" s="4">
        <v>40</v>
      </c>
      <c r="U75" s="4">
        <v>83</v>
      </c>
      <c r="V75" s="58">
        <f>IF(ISERROR(VLOOKUP($S$75,'TAR FIN'!$A$1:$O$86,15,0)),0,VLOOKUP($S$75,'TAR FIN'!$A$1:$O$86,15,0))</f>
        <v>0</v>
      </c>
      <c r="W75" s="58">
        <f>IF(ISERROR(VLOOKUP($T$75,'TAR FIN'!$A$1:$O$86,15,0)),0,VLOOKUP($T$75,'TAR FIN'!$A$1:$O$86,15,0))*(1-0.06)</f>
        <v>523.42960000000005</v>
      </c>
      <c r="X75" s="58">
        <f>IF(ISERROR(VLOOKUP($U$75,'TAR FIN'!$A$1:$O$86,15,0)),0,VLOOKUP($U$75,'TAR FIN'!$A$1:$O$86,15,0))*(1-0.06)</f>
        <v>123.95779999999999</v>
      </c>
      <c r="Y75" s="58"/>
      <c r="Z75" s="58">
        <f ca="1">('TUSD BE'!$AM$48+'TUSD BF'!$AM$48+'TUSD CVA'!$AM$48)*1*(1-0.03)</f>
        <v>649.98176200492537</v>
      </c>
      <c r="AA75" s="58">
        <f>('TE BE'!$AB$39+'TE BF'!$AB$39+'TE CVA'!$AB$39)*1*(1-0.03)</f>
        <v>112.93562326368158</v>
      </c>
      <c r="AB75" s="58">
        <f>(SUBSIDIO!$J$75*SUBSIDIO!$V$75)*(0.06)/(1-0.06)</f>
        <v>0</v>
      </c>
      <c r="AC75" s="58">
        <f>((SUBSIDIO!$L$75*SUBSIDIO!$W$75)+(SUBSIDIO!$N$75*SUBSIDIO!$X$75))*(0.06)/(1-0.06)</f>
        <v>258.26625000000001</v>
      </c>
      <c r="AD75" s="58">
        <f>(SUBSIDIO!$J$75*SUBSIDIO!$Y$75)*(0.03)/(1-0.03)</f>
        <v>0</v>
      </c>
      <c r="AE75" s="58">
        <f ca="1">((SUBSIDIO!$L$75*SUBSIDIO!$Z$75)+(SUBSIDIO!$N$75*SUBSIDIO!$AA$75))*(0.03)/(1-0.03)</f>
        <v>147.47114405965343</v>
      </c>
      <c r="AF75" s="4" t="s">
        <v>599</v>
      </c>
    </row>
    <row r="76" spans="1:32" ht="11.25" customHeight="1" x14ac:dyDescent="0.25">
      <c r="A76" s="4" t="s">
        <v>21</v>
      </c>
      <c r="B76" s="4" t="s">
        <v>37</v>
      </c>
      <c r="C76" s="4" t="s">
        <v>23</v>
      </c>
      <c r="D76" s="4" t="s">
        <v>47</v>
      </c>
      <c r="E76" s="4" t="s">
        <v>48</v>
      </c>
      <c r="F76" s="4" t="s">
        <v>25</v>
      </c>
      <c r="G76" s="4" t="s">
        <v>25</v>
      </c>
      <c r="H76" s="4" t="s">
        <v>25</v>
      </c>
      <c r="I76" s="5">
        <v>44562</v>
      </c>
      <c r="J76" s="6">
        <v>0</v>
      </c>
      <c r="K76" s="58">
        <v>0</v>
      </c>
      <c r="L76" s="6">
        <v>7.6</v>
      </c>
      <c r="M76" s="58">
        <v>7.6</v>
      </c>
      <c r="N76" s="6">
        <v>7.6</v>
      </c>
      <c r="O76" s="58">
        <v>7.6</v>
      </c>
      <c r="P76" s="6">
        <v>1</v>
      </c>
      <c r="Q76" s="4" t="s">
        <v>26</v>
      </c>
      <c r="R76" s="4">
        <v>0</v>
      </c>
      <c r="S76" s="4">
        <v>0</v>
      </c>
      <c r="T76" s="4">
        <v>40</v>
      </c>
      <c r="U76" s="4">
        <v>83</v>
      </c>
      <c r="V76" s="58">
        <f>IF(ISERROR(VLOOKUP($S$76,'TAR FIN'!$A$1:$O$86,15,0)),0,VLOOKUP($S$76,'TAR FIN'!$A$1:$O$86,15,0))</f>
        <v>0</v>
      </c>
      <c r="W76" s="58">
        <f>IF(ISERROR(VLOOKUP($T$76,'TAR FIN'!$A$1:$O$86,15,0)),0,VLOOKUP($T$76,'TAR FIN'!$A$1:$O$86,15,0))*(1-0.06)</f>
        <v>523.42960000000005</v>
      </c>
      <c r="X76" s="58">
        <f>IF(ISERROR(VLOOKUP($U$76,'TAR FIN'!$A$1:$O$86,15,0)),0,VLOOKUP($U$76,'TAR FIN'!$A$1:$O$86,15,0))*(1-0.06)</f>
        <v>123.95779999999999</v>
      </c>
      <c r="Y76" s="58"/>
      <c r="Z76" s="58">
        <f ca="1">('TUSD BE'!$AM$48+'TUSD BF'!$AM$48+'TUSD CVA'!$AM$48)*1*(1-0.03)</f>
        <v>649.98176200492537</v>
      </c>
      <c r="AA76" s="58">
        <f>('TE BE'!$AB$39+'TE BF'!$AB$39+'TE CVA'!$AB$39)*1*(1-0.03)</f>
        <v>112.93562326368158</v>
      </c>
      <c r="AB76" s="58">
        <f>(SUBSIDIO!$J$76*SUBSIDIO!$V$76)*(0.06)/(1-0.06)</f>
        <v>0</v>
      </c>
      <c r="AC76" s="58">
        <f>((SUBSIDIO!$L$76*SUBSIDIO!$W$76)+(SUBSIDIO!$N$76*SUBSIDIO!$X$76))*(0.06)/(1-0.06)</f>
        <v>314.05175999999994</v>
      </c>
      <c r="AD76" s="58">
        <f>(SUBSIDIO!$J$76*SUBSIDIO!$Y$76)*(0.03)/(1-0.03)</f>
        <v>0</v>
      </c>
      <c r="AE76" s="58">
        <f ca="1">((SUBSIDIO!$L$76*SUBSIDIO!$Z$76)+(SUBSIDIO!$N$76*SUBSIDIO!$AA$76))*(0.03)/(1-0.03)</f>
        <v>179.32491117653854</v>
      </c>
      <c r="AF76" s="4" t="s">
        <v>599</v>
      </c>
    </row>
    <row r="77" spans="1:32" ht="11.25" customHeight="1" x14ac:dyDescent="0.25">
      <c r="A77" s="4" t="s">
        <v>21</v>
      </c>
      <c r="B77" s="4" t="s">
        <v>37</v>
      </c>
      <c r="C77" s="4" t="s">
        <v>23</v>
      </c>
      <c r="D77" s="4" t="s">
        <v>47</v>
      </c>
      <c r="E77" s="4" t="s">
        <v>48</v>
      </c>
      <c r="F77" s="4" t="s">
        <v>25</v>
      </c>
      <c r="G77" s="4" t="s">
        <v>25</v>
      </c>
      <c r="H77" s="4" t="s">
        <v>25</v>
      </c>
      <c r="I77" s="5">
        <v>44593</v>
      </c>
      <c r="J77" s="6">
        <v>0</v>
      </c>
      <c r="K77" s="58">
        <v>0</v>
      </c>
      <c r="L77" s="6">
        <v>7.3</v>
      </c>
      <c r="M77" s="58">
        <v>7.3</v>
      </c>
      <c r="N77" s="6">
        <v>7.3</v>
      </c>
      <c r="O77" s="58">
        <v>7.3</v>
      </c>
      <c r="P77" s="6">
        <v>1</v>
      </c>
      <c r="Q77" s="4" t="s">
        <v>26</v>
      </c>
      <c r="R77" s="4">
        <v>0</v>
      </c>
      <c r="S77" s="4">
        <v>0</v>
      </c>
      <c r="T77" s="4">
        <v>40</v>
      </c>
      <c r="U77" s="4">
        <v>83</v>
      </c>
      <c r="V77" s="58">
        <f>IF(ISERROR(VLOOKUP($S$77,'TAR FIN'!$A$1:$O$86,15,0)),0,VLOOKUP($S$77,'TAR FIN'!$A$1:$O$86,15,0))</f>
        <v>0</v>
      </c>
      <c r="W77" s="58">
        <f>IF(ISERROR(VLOOKUP($T$77,'TAR FIN'!$A$1:$O$86,15,0)),0,VLOOKUP($T$77,'TAR FIN'!$A$1:$O$86,15,0))*(1-0.06)</f>
        <v>523.42960000000005</v>
      </c>
      <c r="X77" s="58">
        <f>IF(ISERROR(VLOOKUP($U$77,'TAR FIN'!$A$1:$O$86,15,0)),0,VLOOKUP($U$77,'TAR FIN'!$A$1:$O$86,15,0))*(1-0.06)</f>
        <v>123.95779999999999</v>
      </c>
      <c r="Y77" s="58"/>
      <c r="Z77" s="58">
        <f ca="1">('TUSD BE'!$AM$48+'TUSD BF'!$AM$48+'TUSD CVA'!$AM$48)*1*(1-0.03)</f>
        <v>649.98176200492537</v>
      </c>
      <c r="AA77" s="58">
        <f>('TE BE'!$AB$39+'TE BF'!$AB$39+'TE CVA'!$AB$39)*1*(1-0.03)</f>
        <v>112.93562326368158</v>
      </c>
      <c r="AB77" s="58">
        <f>(SUBSIDIO!$J$77*SUBSIDIO!$V$77)*(0.06)/(1-0.06)</f>
        <v>0</v>
      </c>
      <c r="AC77" s="58">
        <f>((SUBSIDIO!$L$77*SUBSIDIO!$W$77)+(SUBSIDIO!$N$77*SUBSIDIO!$X$77))*(0.06)/(1-0.06)</f>
        <v>301.65498000000002</v>
      </c>
      <c r="AD77" s="58">
        <f>(SUBSIDIO!$J$77*SUBSIDIO!$Y$77)*(0.03)/(1-0.03)</f>
        <v>0</v>
      </c>
      <c r="AE77" s="58">
        <f ca="1">((SUBSIDIO!$L$77*SUBSIDIO!$Z$77)+(SUBSIDIO!$N$77*SUBSIDIO!$AA$77))*(0.03)/(1-0.03)</f>
        <v>172.24629626167516</v>
      </c>
      <c r="AF77" s="4" t="s">
        <v>599</v>
      </c>
    </row>
    <row r="78" spans="1:32" ht="11.25" customHeight="1" x14ac:dyDescent="0.25">
      <c r="A78" s="4" t="s">
        <v>21</v>
      </c>
      <c r="B78" s="4" t="s">
        <v>37</v>
      </c>
      <c r="C78" s="4" t="s">
        <v>23</v>
      </c>
      <c r="D78" s="4" t="s">
        <v>47</v>
      </c>
      <c r="E78" s="4" t="s">
        <v>48</v>
      </c>
      <c r="F78" s="4" t="s">
        <v>25</v>
      </c>
      <c r="G78" s="4" t="s">
        <v>25</v>
      </c>
      <c r="H78" s="4" t="s">
        <v>25</v>
      </c>
      <c r="I78" s="5">
        <v>44621</v>
      </c>
      <c r="J78" s="6">
        <v>0</v>
      </c>
      <c r="K78" s="58">
        <v>0</v>
      </c>
      <c r="L78" s="6">
        <v>4.0999999999999996</v>
      </c>
      <c r="M78" s="58">
        <v>4.0999999999999996</v>
      </c>
      <c r="N78" s="6">
        <v>4.0999999999999996</v>
      </c>
      <c r="O78" s="58">
        <v>4.0999999999999996</v>
      </c>
      <c r="P78" s="6">
        <v>1</v>
      </c>
      <c r="Q78" s="4" t="s">
        <v>26</v>
      </c>
      <c r="R78" s="4">
        <v>0</v>
      </c>
      <c r="S78" s="4">
        <v>0</v>
      </c>
      <c r="T78" s="4">
        <v>40</v>
      </c>
      <c r="U78" s="4">
        <v>83</v>
      </c>
      <c r="V78" s="58">
        <f>IF(ISERROR(VLOOKUP($S$78,'TAR FIN'!$A$1:$O$86,15,0)),0,VLOOKUP($S$78,'TAR FIN'!$A$1:$O$86,15,0))</f>
        <v>0</v>
      </c>
      <c r="W78" s="58">
        <f>IF(ISERROR(VLOOKUP($T$78,'TAR FIN'!$A$1:$O$86,15,0)),0,VLOOKUP($T$78,'TAR FIN'!$A$1:$O$86,15,0))*(1-0.06)</f>
        <v>523.42960000000005</v>
      </c>
      <c r="X78" s="58">
        <f>IF(ISERROR(VLOOKUP($U$78,'TAR FIN'!$A$1:$O$86,15,0)),0,VLOOKUP($U$78,'TAR FIN'!$A$1:$O$86,15,0))*(1-0.06)</f>
        <v>123.95779999999999</v>
      </c>
      <c r="Y78" s="58"/>
      <c r="Z78" s="58">
        <f ca="1">('TUSD BE'!$AM$48+'TUSD BF'!$AM$48+'TUSD CVA'!$AM$48)*1*(1-0.03)</f>
        <v>649.98176200492537</v>
      </c>
      <c r="AA78" s="58">
        <f>('TE BE'!$AB$39+'TE BF'!$AB$39+'TE CVA'!$AB$39)*1*(1-0.03)</f>
        <v>112.93562326368158</v>
      </c>
      <c r="AB78" s="58">
        <f>(SUBSIDIO!$J$78*SUBSIDIO!$V$78)*(0.06)/(1-0.06)</f>
        <v>0</v>
      </c>
      <c r="AC78" s="58">
        <f>((SUBSIDIO!$L$78*SUBSIDIO!$W$78)+(SUBSIDIO!$N$78*SUBSIDIO!$X$78))*(0.06)/(1-0.06)</f>
        <v>169.42266000000001</v>
      </c>
      <c r="AD78" s="58">
        <f>(SUBSIDIO!$J$78*SUBSIDIO!$Y$78)*(0.03)/(1-0.03)</f>
        <v>0</v>
      </c>
      <c r="AE78" s="58">
        <f ca="1">((SUBSIDIO!$L$78*SUBSIDIO!$Z$78)+(SUBSIDIO!$N$78*SUBSIDIO!$AA$78))*(0.03)/(1-0.03)</f>
        <v>96.741070503132619</v>
      </c>
      <c r="AF78" s="4" t="s">
        <v>599</v>
      </c>
    </row>
    <row r="79" spans="1:32" ht="11.25" customHeight="1" x14ac:dyDescent="0.25">
      <c r="A79" s="4" t="s">
        <v>21</v>
      </c>
      <c r="B79" s="4" t="s">
        <v>37</v>
      </c>
      <c r="C79" s="4" t="s">
        <v>23</v>
      </c>
      <c r="D79" s="4" t="s">
        <v>47</v>
      </c>
      <c r="E79" s="4" t="s">
        <v>48</v>
      </c>
      <c r="F79" s="4" t="s">
        <v>25</v>
      </c>
      <c r="G79" s="4" t="s">
        <v>25</v>
      </c>
      <c r="H79" s="4" t="s">
        <v>25</v>
      </c>
      <c r="I79" s="5">
        <v>44652</v>
      </c>
      <c r="J79" s="6">
        <v>0</v>
      </c>
      <c r="K79" s="58">
        <v>0</v>
      </c>
      <c r="L79" s="6">
        <v>8.6999999999999993</v>
      </c>
      <c r="M79" s="58">
        <v>8.6999999999999993</v>
      </c>
      <c r="N79" s="6">
        <v>8.6999999999999993</v>
      </c>
      <c r="O79" s="58">
        <v>8.6999999999999993</v>
      </c>
      <c r="P79" s="6">
        <v>1</v>
      </c>
      <c r="Q79" s="4" t="s">
        <v>26</v>
      </c>
      <c r="R79" s="4">
        <v>0</v>
      </c>
      <c r="S79" s="4">
        <v>0</v>
      </c>
      <c r="T79" s="4">
        <v>40</v>
      </c>
      <c r="U79" s="4">
        <v>83</v>
      </c>
      <c r="V79" s="58">
        <f>IF(ISERROR(VLOOKUP($S$79,'TAR FIN'!$A$1:$O$86,15,0)),0,VLOOKUP($S$79,'TAR FIN'!$A$1:$O$86,15,0))</f>
        <v>0</v>
      </c>
      <c r="W79" s="58">
        <f>IF(ISERROR(VLOOKUP($T$79,'TAR FIN'!$A$1:$O$86,15,0)),0,VLOOKUP($T$79,'TAR FIN'!$A$1:$O$86,15,0))*(1-0.06)</f>
        <v>523.42960000000005</v>
      </c>
      <c r="X79" s="58">
        <f>IF(ISERROR(VLOOKUP($U$79,'TAR FIN'!$A$1:$O$86,15,0)),0,VLOOKUP($U$79,'TAR FIN'!$A$1:$O$86,15,0))*(1-0.06)</f>
        <v>123.95779999999999</v>
      </c>
      <c r="Y79" s="58"/>
      <c r="Z79" s="58">
        <f ca="1">('TUSD BE'!$AM$48+'TUSD BF'!$AM$48+'TUSD CVA'!$AM$48)*1*(1-0.03)</f>
        <v>649.98176200492537</v>
      </c>
      <c r="AA79" s="58">
        <f>('TE BE'!$AB$39+'TE BF'!$AB$39+'TE CVA'!$AB$39)*1*(1-0.03)</f>
        <v>112.93562326368158</v>
      </c>
      <c r="AB79" s="58">
        <f>(SUBSIDIO!$J$79*SUBSIDIO!$V$79)*(0.06)/(1-0.06)</f>
        <v>0</v>
      </c>
      <c r="AC79" s="58">
        <f>((SUBSIDIO!$L$79*SUBSIDIO!$W$79)+(SUBSIDIO!$N$79*SUBSIDIO!$X$79))*(0.06)/(1-0.06)</f>
        <v>359.50662</v>
      </c>
      <c r="AD79" s="58">
        <f>(SUBSIDIO!$J$79*SUBSIDIO!$Y$79)*(0.03)/(1-0.03)</f>
        <v>0</v>
      </c>
      <c r="AE79" s="58">
        <f ca="1">((SUBSIDIO!$L$79*SUBSIDIO!$Z$79)+(SUBSIDIO!$N$79*SUBSIDIO!$AA$79))*(0.03)/(1-0.03)</f>
        <v>205.2798325310375</v>
      </c>
      <c r="AF79" s="4" t="s">
        <v>599</v>
      </c>
    </row>
    <row r="80" spans="1:32" ht="11.25" customHeight="1" x14ac:dyDescent="0.25">
      <c r="A80" s="4" t="s">
        <v>21</v>
      </c>
      <c r="B80" s="4" t="s">
        <v>37</v>
      </c>
      <c r="C80" s="4" t="s">
        <v>23</v>
      </c>
      <c r="D80" s="4" t="s">
        <v>47</v>
      </c>
      <c r="E80" s="4" t="s">
        <v>48</v>
      </c>
      <c r="F80" s="4" t="s">
        <v>25</v>
      </c>
      <c r="G80" s="4" t="s">
        <v>25</v>
      </c>
      <c r="H80" s="4" t="s">
        <v>25</v>
      </c>
      <c r="I80" s="5">
        <v>44682</v>
      </c>
      <c r="J80" s="6">
        <v>0</v>
      </c>
      <c r="K80" s="58">
        <v>0</v>
      </c>
      <c r="L80" s="6">
        <v>8.9</v>
      </c>
      <c r="M80" s="58">
        <v>8.9</v>
      </c>
      <c r="N80" s="6">
        <v>8.9</v>
      </c>
      <c r="O80" s="58">
        <v>8.9</v>
      </c>
      <c r="P80" s="6">
        <v>1</v>
      </c>
      <c r="Q80" s="4" t="s">
        <v>26</v>
      </c>
      <c r="R80" s="4">
        <v>0</v>
      </c>
      <c r="S80" s="4">
        <v>0</v>
      </c>
      <c r="T80" s="4">
        <v>40</v>
      </c>
      <c r="U80" s="4">
        <v>83</v>
      </c>
      <c r="V80" s="58">
        <f>IF(ISERROR(VLOOKUP($S$80,'TAR FIN'!$A$1:$O$86,15,0)),0,VLOOKUP($S$80,'TAR FIN'!$A$1:$O$86,15,0))</f>
        <v>0</v>
      </c>
      <c r="W80" s="58">
        <f>IF(ISERROR(VLOOKUP($T$80,'TAR FIN'!$A$1:$O$86,15,0)),0,VLOOKUP($T$80,'TAR FIN'!$A$1:$O$86,15,0))*(1-0.06)</f>
        <v>523.42960000000005</v>
      </c>
      <c r="X80" s="58">
        <f>IF(ISERROR(VLOOKUP($U$80,'TAR FIN'!$A$1:$O$86,15,0)),0,VLOOKUP($U$80,'TAR FIN'!$A$1:$O$86,15,0))*(1-0.06)</f>
        <v>123.95779999999999</v>
      </c>
      <c r="Y80" s="58"/>
      <c r="Z80" s="58">
        <f ca="1">('TUSD BE'!$AM$48+'TUSD BF'!$AM$48+'TUSD CVA'!$AM$48)*1*(1-0.03)</f>
        <v>649.98176200492537</v>
      </c>
      <c r="AA80" s="58">
        <f>('TE BE'!$AB$39+'TE BF'!$AB$39+'TE CVA'!$AB$39)*1*(1-0.03)</f>
        <v>112.93562326368158</v>
      </c>
      <c r="AB80" s="58">
        <f>(SUBSIDIO!$J$80*SUBSIDIO!$V$80)*(0.06)/(1-0.06)</f>
        <v>0</v>
      </c>
      <c r="AC80" s="58">
        <f>((SUBSIDIO!$L$80*SUBSIDIO!$W$80)+(SUBSIDIO!$N$80*SUBSIDIO!$X$80))*(0.06)/(1-0.06)</f>
        <v>367.77114000000006</v>
      </c>
      <c r="AD80" s="58">
        <f>(SUBSIDIO!$J$80*SUBSIDIO!$Y$80)*(0.03)/(1-0.03)</f>
        <v>0</v>
      </c>
      <c r="AE80" s="58">
        <f ca="1">((SUBSIDIO!$L$80*SUBSIDIO!$Z$80)+(SUBSIDIO!$N$80*SUBSIDIO!$AA$80))*(0.03)/(1-0.03)</f>
        <v>209.99890914094647</v>
      </c>
      <c r="AF80" s="4" t="s">
        <v>599</v>
      </c>
    </row>
    <row r="81" spans="1:32" ht="11.25" customHeight="1" x14ac:dyDescent="0.25">
      <c r="A81" s="4" t="s">
        <v>21</v>
      </c>
      <c r="B81" s="4" t="s">
        <v>37</v>
      </c>
      <c r="C81" s="4" t="s">
        <v>23</v>
      </c>
      <c r="D81" s="4" t="s">
        <v>47</v>
      </c>
      <c r="E81" s="4" t="s">
        <v>48</v>
      </c>
      <c r="F81" s="4" t="s">
        <v>25</v>
      </c>
      <c r="G81" s="4" t="s">
        <v>25</v>
      </c>
      <c r="H81" s="4" t="s">
        <v>25</v>
      </c>
      <c r="I81" s="5">
        <v>44713</v>
      </c>
      <c r="J81" s="6">
        <v>0</v>
      </c>
      <c r="K81" s="58">
        <v>0</v>
      </c>
      <c r="L81" s="6">
        <v>8.65</v>
      </c>
      <c r="M81" s="58">
        <v>8.65</v>
      </c>
      <c r="N81" s="6">
        <v>8.65</v>
      </c>
      <c r="O81" s="58">
        <v>8.65</v>
      </c>
      <c r="P81" s="6">
        <v>1</v>
      </c>
      <c r="Q81" s="4" t="s">
        <v>26</v>
      </c>
      <c r="R81" s="4">
        <v>0</v>
      </c>
      <c r="S81" s="4">
        <v>0</v>
      </c>
      <c r="T81" s="4">
        <v>40</v>
      </c>
      <c r="U81" s="4">
        <v>83</v>
      </c>
      <c r="V81" s="58">
        <f>IF(ISERROR(VLOOKUP($S$81,'TAR FIN'!$A$1:$O$86,15,0)),0,VLOOKUP($S$81,'TAR FIN'!$A$1:$O$86,15,0))</f>
        <v>0</v>
      </c>
      <c r="W81" s="58">
        <f>IF(ISERROR(VLOOKUP($T$81,'TAR FIN'!$A$1:$O$86,15,0)),0,VLOOKUP($T$81,'TAR FIN'!$A$1:$O$86,15,0))*(1-0.06)</f>
        <v>523.42960000000005</v>
      </c>
      <c r="X81" s="58">
        <f>IF(ISERROR(VLOOKUP($U$81,'TAR FIN'!$A$1:$O$86,15,0)),0,VLOOKUP($U$81,'TAR FIN'!$A$1:$O$86,15,0))*(1-0.06)</f>
        <v>123.95779999999999</v>
      </c>
      <c r="Y81" s="58"/>
      <c r="Z81" s="58">
        <f ca="1">('TUSD BE'!$AM$48+'TUSD BF'!$AM$48+'TUSD CVA'!$AM$48)*1*(1-0.03)</f>
        <v>649.98176200492537</v>
      </c>
      <c r="AA81" s="58">
        <f>('TE BE'!$AB$39+'TE BF'!$AB$39+'TE CVA'!$AB$39)*1*(1-0.03)</f>
        <v>112.93562326368158</v>
      </c>
      <c r="AB81" s="58">
        <f>(SUBSIDIO!$J$81*SUBSIDIO!$V$81)*(0.06)/(1-0.06)</f>
        <v>0</v>
      </c>
      <c r="AC81" s="58">
        <f>((SUBSIDIO!$L$81*SUBSIDIO!$W$81)+(SUBSIDIO!$N$81*SUBSIDIO!$X$81))*(0.06)/(1-0.06)</f>
        <v>357.44049000000007</v>
      </c>
      <c r="AD81" s="58">
        <f>(SUBSIDIO!$J$81*SUBSIDIO!$Y$81)*(0.03)/(1-0.03)</f>
        <v>0</v>
      </c>
      <c r="AE81" s="58">
        <f ca="1">((SUBSIDIO!$L$81*SUBSIDIO!$Z$81)+(SUBSIDIO!$N$81*SUBSIDIO!$AA$81))*(0.03)/(1-0.03)</f>
        <v>204.10006337856032</v>
      </c>
      <c r="AF81" s="4" t="s">
        <v>599</v>
      </c>
    </row>
    <row r="82" spans="1:32" ht="11.25" customHeight="1" x14ac:dyDescent="0.25"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2" ht="11.25" customHeight="1" x14ac:dyDescent="0.25"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2" ht="11.25" customHeight="1" x14ac:dyDescent="0.25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2" ht="11.25" customHeight="1" x14ac:dyDescent="0.25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2" ht="11.25" customHeight="1" x14ac:dyDescent="0.25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2" ht="11.25" customHeight="1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2" ht="11.25" customHeight="1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2" ht="11.25" customHeight="1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2" ht="11.25" customHeight="1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2" ht="11.25" customHeight="1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2" ht="11.25" customHeight="1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2" ht="11.25" customHeight="1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2" ht="11.25" customHeight="1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2" ht="11.25" customHeight="1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2" ht="11.25" customHeight="1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22:31" ht="11.25" customHeight="1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22:31" ht="11.25" customHeight="1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22:31" ht="11.25" customHeight="1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2:31" ht="11.25" customHeight="1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22:31" ht="11.25" customHeight="1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22:31" ht="11.25" customHeight="1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22:31" ht="11.25" customHeight="1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22:31" ht="11.25" customHeight="1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22:31" ht="11.25" customHeight="1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22:31" ht="11.25" customHeight="1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22:31" ht="11.25" customHeight="1" x14ac:dyDescent="0.25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22:31" ht="11.25" customHeight="1" x14ac:dyDescent="0.25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22:31" ht="11.25" customHeight="1" x14ac:dyDescent="0.25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22:31" ht="11.25" customHeight="1" x14ac:dyDescent="0.25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22:31" ht="11.25" customHeight="1" x14ac:dyDescent="0.25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22:31" ht="11.25" customHeight="1" x14ac:dyDescent="0.25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2:31" ht="11.25" customHeight="1" x14ac:dyDescent="0.25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2:31" ht="11.25" customHeight="1" x14ac:dyDescent="0.25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2:31" ht="11.25" customHeight="1" x14ac:dyDescent="0.25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2:31" ht="11.25" customHeight="1" x14ac:dyDescent="0.25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2:31" ht="11.25" customHeight="1" x14ac:dyDescent="0.25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2:31" ht="11.25" customHeight="1" x14ac:dyDescent="0.25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2:31" ht="11.25" customHeight="1" x14ac:dyDescent="0.25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2:31" ht="11.25" customHeight="1" x14ac:dyDescent="0.25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2:31" ht="11.25" customHeight="1" x14ac:dyDescent="0.25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2:31" ht="11.25" customHeight="1" x14ac:dyDescent="0.25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2:31" ht="11.25" customHeight="1" x14ac:dyDescent="0.25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2:31" ht="11.25" customHeight="1" x14ac:dyDescent="0.25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2:31" ht="11.25" customHeight="1" x14ac:dyDescent="0.25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2:31" ht="11.25" customHeight="1" x14ac:dyDescent="0.25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2:31" ht="11.25" customHeight="1" x14ac:dyDescent="0.25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2:31" ht="11.25" customHeight="1" x14ac:dyDescent="0.25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2:31" ht="11.25" customHeight="1" x14ac:dyDescent="0.25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2:31" ht="11.25" customHeight="1" x14ac:dyDescent="0.25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2:31" ht="11.25" customHeight="1" x14ac:dyDescent="0.25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2:31" ht="11.25" customHeight="1" x14ac:dyDescent="0.25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2:31" ht="11.25" customHeight="1" x14ac:dyDescent="0.25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2:31" ht="11.25" customHeight="1" x14ac:dyDescent="0.25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2:31" ht="11.25" customHeight="1" x14ac:dyDescent="0.25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2:31" ht="11.25" customHeight="1" x14ac:dyDescent="0.25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2:31" ht="11.25" customHeight="1" x14ac:dyDescent="0.25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2:31" ht="11.25" customHeight="1" x14ac:dyDescent="0.25"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2:31" ht="11.25" customHeight="1" x14ac:dyDescent="0.25"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2:31" ht="11.25" customHeight="1" x14ac:dyDescent="0.25"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2:31" ht="11.25" customHeight="1" x14ac:dyDescent="0.25"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2:31" ht="11.25" customHeight="1" x14ac:dyDescent="0.25"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2:31" ht="11.25" customHeight="1" x14ac:dyDescent="0.25"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2:31" ht="11.25" customHeight="1" x14ac:dyDescent="0.25"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2:31" ht="11.25" customHeight="1" x14ac:dyDescent="0.25"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2:31" ht="11.25" customHeight="1" x14ac:dyDescent="0.25"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2:31" ht="11.25" customHeight="1" x14ac:dyDescent="0.25"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2:31" ht="11.25" customHeight="1" x14ac:dyDescent="0.25"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2:31" ht="11.25" customHeight="1" x14ac:dyDescent="0.25"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2:31" ht="11.25" customHeight="1" x14ac:dyDescent="0.25"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2:31" ht="11.25" customHeight="1" x14ac:dyDescent="0.25"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2:31" ht="11.25" customHeight="1" x14ac:dyDescent="0.25"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2:31" ht="11.25" customHeight="1" x14ac:dyDescent="0.25"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2:31" ht="11.25" customHeight="1" x14ac:dyDescent="0.25"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2:31" ht="11.25" customHeight="1" x14ac:dyDescent="0.25"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2:31" ht="11.25" customHeight="1" x14ac:dyDescent="0.25"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2:31" ht="11.25" customHeight="1" x14ac:dyDescent="0.25"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2:31" ht="11.25" customHeight="1" x14ac:dyDescent="0.25"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2:31" ht="11.25" customHeight="1" x14ac:dyDescent="0.25"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2:31" ht="11.25" customHeight="1" x14ac:dyDescent="0.25"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2:31" ht="11.25" customHeight="1" x14ac:dyDescent="0.25"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2:31" ht="11.25" customHeight="1" x14ac:dyDescent="0.25"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2:31" ht="11.25" customHeight="1" x14ac:dyDescent="0.25"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2:31" ht="11.25" customHeight="1" x14ac:dyDescent="0.25"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2:31" ht="11.25" customHeight="1" x14ac:dyDescent="0.25"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2:31" ht="11.25" customHeight="1" x14ac:dyDescent="0.25"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2:31" ht="11.25" customHeight="1" x14ac:dyDescent="0.25"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2:31" ht="11.25" customHeight="1" x14ac:dyDescent="0.25"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2:31" ht="11.25" customHeight="1" x14ac:dyDescent="0.25"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2:31" ht="11.25" customHeight="1" x14ac:dyDescent="0.25"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2:31" ht="11.25" customHeight="1" x14ac:dyDescent="0.25"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22:31" ht="11.25" customHeight="1" x14ac:dyDescent="0.25"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22:31" ht="11.25" customHeight="1" x14ac:dyDescent="0.25"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22:31" ht="11.25" customHeight="1" x14ac:dyDescent="0.25"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22:31" ht="11.25" customHeight="1" x14ac:dyDescent="0.25"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22:31" ht="11.25" customHeight="1" x14ac:dyDescent="0.25"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22:31" ht="11.25" customHeight="1" x14ac:dyDescent="0.25"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22:31" ht="11.25" customHeight="1" x14ac:dyDescent="0.25"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22:31" ht="11.25" customHeight="1" x14ac:dyDescent="0.25"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22:31" ht="11.25" customHeight="1" x14ac:dyDescent="0.25"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22:31" ht="11.25" customHeight="1" x14ac:dyDescent="0.25"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22:31" ht="11.25" customHeight="1" x14ac:dyDescent="0.25"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22:31" ht="11.25" customHeight="1" x14ac:dyDescent="0.25"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22:31" ht="11.25" customHeight="1" x14ac:dyDescent="0.25"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22:31" ht="11.25" customHeight="1" x14ac:dyDescent="0.25"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22:31" ht="11.25" customHeight="1" x14ac:dyDescent="0.25"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22:31" ht="11.25" customHeight="1" x14ac:dyDescent="0.25"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22:31" ht="11.25" customHeight="1" x14ac:dyDescent="0.25"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22:31" ht="11.25" customHeight="1" x14ac:dyDescent="0.25"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22:31" ht="11.25" customHeight="1" x14ac:dyDescent="0.25"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22:31" ht="11.25" customHeight="1" x14ac:dyDescent="0.25"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22:31" ht="11.25" customHeight="1" x14ac:dyDescent="0.25"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22:31" ht="11.25" customHeight="1" x14ac:dyDescent="0.25"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22:31" ht="11.25" customHeight="1" x14ac:dyDescent="0.25"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2:31" ht="11.25" customHeight="1" x14ac:dyDescent="0.25"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22:31" ht="11.25" customHeight="1" x14ac:dyDescent="0.25"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22:31" ht="11.25" customHeight="1" x14ac:dyDescent="0.25"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22:31" ht="11.25" customHeight="1" x14ac:dyDescent="0.25"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22:31" ht="11.25" customHeight="1" x14ac:dyDescent="0.25"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22:31" ht="11.25" customHeight="1" x14ac:dyDescent="0.25"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22:31" ht="11.25" customHeight="1" x14ac:dyDescent="0.25"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22:31" ht="11.25" customHeight="1" x14ac:dyDescent="0.25"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22:31" ht="11.25" customHeight="1" x14ac:dyDescent="0.25"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22:31" ht="11.25" customHeight="1" x14ac:dyDescent="0.25"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22:31" ht="11.25" customHeight="1" x14ac:dyDescent="0.25"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22:31" ht="11.25" customHeight="1" x14ac:dyDescent="0.25"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22:31" ht="11.25" customHeight="1" x14ac:dyDescent="0.25"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22:31" ht="11.25" customHeight="1" x14ac:dyDescent="0.25"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22:31" ht="11.25" customHeight="1" x14ac:dyDescent="0.25"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22:31" ht="11.25" customHeight="1" x14ac:dyDescent="0.25"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22:31" ht="11.25" customHeight="1" x14ac:dyDescent="0.25"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22:31" ht="11.25" customHeight="1" x14ac:dyDescent="0.25"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22:31" ht="11.25" customHeight="1" x14ac:dyDescent="0.25"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22:31" ht="11.25" customHeight="1" x14ac:dyDescent="0.25"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22:31" ht="11.25" customHeight="1" x14ac:dyDescent="0.25"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22:31" ht="11.25" customHeight="1" x14ac:dyDescent="0.25"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22:31" ht="11.25" customHeight="1" x14ac:dyDescent="0.25"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22:31" ht="11.25" customHeight="1" x14ac:dyDescent="0.25"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22:31" ht="11.25" customHeight="1" x14ac:dyDescent="0.25"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22:31" ht="11.25" customHeight="1" x14ac:dyDescent="0.25"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22:31" ht="11.25" customHeight="1" x14ac:dyDescent="0.25"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22:31" ht="11.25" customHeight="1" x14ac:dyDescent="0.25"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22:31" ht="11.25" customHeight="1" x14ac:dyDescent="0.25"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22:31" ht="11.25" customHeight="1" x14ac:dyDescent="0.25"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22:31" ht="11.25" customHeight="1" x14ac:dyDescent="0.25"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2:31" ht="11.25" customHeight="1" x14ac:dyDescent="0.25"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22:31" ht="11.25" customHeight="1" x14ac:dyDescent="0.25"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22:31" ht="11.25" customHeight="1" x14ac:dyDescent="0.25"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22:31" ht="11.25" customHeight="1" x14ac:dyDescent="0.25"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22:31" ht="11.25" customHeight="1" x14ac:dyDescent="0.25"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22:31" ht="11.25" customHeight="1" x14ac:dyDescent="0.25"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22:31" ht="11.25" customHeight="1" x14ac:dyDescent="0.25"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22:31" ht="11.25" customHeight="1" x14ac:dyDescent="0.25"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22:31" ht="11.25" customHeight="1" x14ac:dyDescent="0.25"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22:31" ht="11.25" customHeight="1" x14ac:dyDescent="0.25"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22:31" ht="11.25" customHeight="1" x14ac:dyDescent="0.25"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22:31" ht="11.25" customHeight="1" x14ac:dyDescent="0.25"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22:31" ht="11.25" customHeight="1" x14ac:dyDescent="0.25"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22:31" ht="11.25" customHeight="1" x14ac:dyDescent="0.25"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22:31" ht="11.25" customHeight="1" x14ac:dyDescent="0.25"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22:31" ht="11.25" customHeight="1" x14ac:dyDescent="0.25"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22:31" ht="11.25" customHeight="1" x14ac:dyDescent="0.25"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5609-2346-4329-9C08-6003B5D24CB4}">
  <dimension ref="A1:J290"/>
  <sheetViews>
    <sheetView showGridLines="0" workbookViewId="0"/>
  </sheetViews>
  <sheetFormatPr defaultRowHeight="11.25" customHeight="1" x14ac:dyDescent="0.2"/>
  <cols>
    <col min="1" max="1" width="34.7109375" style="14" bestFit="1" customWidth="1"/>
    <col min="2" max="2" width="24.5703125" style="45" bestFit="1" customWidth="1"/>
    <col min="3" max="3" width="25.5703125" style="45" bestFit="1" customWidth="1"/>
    <col min="4" max="4" width="26" style="45" bestFit="1" customWidth="1"/>
    <col min="5" max="5" width="26.85546875" style="45" bestFit="1" customWidth="1"/>
    <col min="6" max="6" width="23.7109375" style="45" bestFit="1" customWidth="1"/>
    <col min="7" max="7" width="24.5703125" style="45" bestFit="1" customWidth="1"/>
    <col min="8" max="8" width="18.28515625" style="46" bestFit="1" customWidth="1"/>
    <col min="9" max="9" width="16" style="46" bestFit="1" customWidth="1"/>
    <col min="10" max="10" width="13.85546875" style="46" bestFit="1" customWidth="1"/>
    <col min="11" max="16384" width="9.140625" style="14"/>
  </cols>
  <sheetData>
    <row r="1" spans="1:10" ht="11.25" customHeight="1" x14ac:dyDescent="0.2">
      <c r="A1" s="44" t="s">
        <v>582</v>
      </c>
      <c r="B1" s="45" t="s">
        <v>583</v>
      </c>
      <c r="C1" s="45" t="s">
        <v>584</v>
      </c>
      <c r="D1" s="45" t="s">
        <v>585</v>
      </c>
      <c r="E1" s="45" t="s">
        <v>586</v>
      </c>
      <c r="F1" s="45" t="s">
        <v>587</v>
      </c>
      <c r="G1" s="45" t="s">
        <v>588</v>
      </c>
      <c r="H1" s="46" t="s">
        <v>589</v>
      </c>
      <c r="I1" s="46" t="s">
        <v>590</v>
      </c>
      <c r="J1" s="46" t="s">
        <v>591</v>
      </c>
    </row>
    <row r="2" spans="1:10" ht="11.25" customHeight="1" x14ac:dyDescent="0.2">
      <c r="A2" s="47" t="s">
        <v>26</v>
      </c>
      <c r="B2" s="45">
        <v>198069.62000000002</v>
      </c>
      <c r="C2" s="45">
        <v>240386.67730185986</v>
      </c>
      <c r="D2" s="45">
        <v>8274270.5551899979</v>
      </c>
      <c r="E2" s="45">
        <v>9995219.3481357042</v>
      </c>
      <c r="F2" s="45">
        <v>2095241.4513000005</v>
      </c>
      <c r="G2" s="45">
        <v>1854607.4301319784</v>
      </c>
      <c r="H2" s="46">
        <v>0.20812028480761757</v>
      </c>
      <c r="I2" s="46">
        <v>-0.11484787159910326</v>
      </c>
      <c r="J2" s="46">
        <v>0.14408517321150627</v>
      </c>
    </row>
    <row r="3" spans="1:10" ht="11.25" customHeight="1" x14ac:dyDescent="0.2">
      <c r="A3" s="48" t="s">
        <v>39</v>
      </c>
      <c r="B3" s="45">
        <v>198069.62000000002</v>
      </c>
      <c r="C3" s="45">
        <v>240386.67730185986</v>
      </c>
      <c r="D3" s="45">
        <v>183482.97479000004</v>
      </c>
      <c r="E3" s="45">
        <v>242106.35687418457</v>
      </c>
      <c r="F3" s="45">
        <v>172116.06464999996</v>
      </c>
      <c r="G3" s="45">
        <v>151961.86680993906</v>
      </c>
      <c r="H3" s="46">
        <v>0.26455183574783492</v>
      </c>
      <c r="I3" s="46">
        <v>-0.11709655273053499</v>
      </c>
      <c r="J3" s="46">
        <v>0.14591080814957702</v>
      </c>
    </row>
    <row r="4" spans="1:10" ht="11.25" customHeight="1" x14ac:dyDescent="0.2">
      <c r="A4" s="49" t="s">
        <v>40</v>
      </c>
      <c r="B4" s="45">
        <v>198069.62000000002</v>
      </c>
      <c r="C4" s="45">
        <v>240386.67730185986</v>
      </c>
      <c r="D4" s="45">
        <v>183482.97479000004</v>
      </c>
      <c r="E4" s="45">
        <v>242106.35687418457</v>
      </c>
      <c r="F4" s="45">
        <v>172116.06464999996</v>
      </c>
      <c r="G4" s="45">
        <v>151961.86680993906</v>
      </c>
      <c r="H4" s="46">
        <v>0.26455183574783492</v>
      </c>
      <c r="I4" s="46">
        <v>-0.11709655273053499</v>
      </c>
      <c r="J4" s="46">
        <v>0.14591080814957702</v>
      </c>
    </row>
    <row r="5" spans="1:10" ht="11.25" customHeight="1" x14ac:dyDescent="0.2">
      <c r="A5" s="50" t="s">
        <v>38</v>
      </c>
      <c r="B5" s="45">
        <v>97528.400000000009</v>
      </c>
      <c r="C5" s="45">
        <v>118365.08808653595</v>
      </c>
      <c r="D5" s="45">
        <v>89343.7065</v>
      </c>
      <c r="E5" s="45">
        <v>116631.96672804789</v>
      </c>
      <c r="F5" s="45">
        <v>73083.145220000006</v>
      </c>
      <c r="G5" s="45">
        <v>64525.3608520329</v>
      </c>
      <c r="H5" s="46">
        <v>0.25752879451050581</v>
      </c>
      <c r="I5" s="46">
        <v>-0.11709655273053543</v>
      </c>
      <c r="J5" s="46">
        <v>0.15220759605670464</v>
      </c>
    </row>
    <row r="6" spans="1:10" ht="11.25" customHeight="1" x14ac:dyDescent="0.2">
      <c r="A6" s="51" t="s">
        <v>25</v>
      </c>
      <c r="B6" s="45">
        <v>97528.400000000009</v>
      </c>
      <c r="C6" s="45">
        <v>118365.08808653595</v>
      </c>
      <c r="D6" s="45">
        <v>89343.7065</v>
      </c>
      <c r="E6" s="45">
        <v>116631.96672804789</v>
      </c>
      <c r="F6" s="45">
        <v>73083.145220000006</v>
      </c>
      <c r="G6" s="45">
        <v>64525.3608520329</v>
      </c>
      <c r="H6" s="46">
        <v>0.25752879451050581</v>
      </c>
      <c r="I6" s="46">
        <v>-0.11709655273053543</v>
      </c>
      <c r="J6" s="46">
        <v>0.15220759605670464</v>
      </c>
    </row>
    <row r="7" spans="1:10" ht="11.25" customHeight="1" x14ac:dyDescent="0.2">
      <c r="A7" s="52" t="s">
        <v>25</v>
      </c>
      <c r="B7" s="45">
        <v>97528.400000000009</v>
      </c>
      <c r="C7" s="45">
        <v>118365.08808653595</v>
      </c>
      <c r="D7" s="45">
        <v>89343.7065</v>
      </c>
      <c r="E7" s="45">
        <v>116631.96672804789</v>
      </c>
      <c r="F7" s="45">
        <v>73083.145220000006</v>
      </c>
      <c r="G7" s="45">
        <v>64525.3608520329</v>
      </c>
      <c r="H7" s="46">
        <v>0.25752879451050581</v>
      </c>
      <c r="I7" s="46">
        <v>-0.11709655273053543</v>
      </c>
      <c r="J7" s="46">
        <v>0.15220759605670464</v>
      </c>
    </row>
    <row r="8" spans="1:10" ht="11.25" customHeight="1" x14ac:dyDescent="0.2">
      <c r="A8" s="53" t="s">
        <v>25</v>
      </c>
      <c r="B8" s="45">
        <v>97528.400000000009</v>
      </c>
      <c r="C8" s="45">
        <v>118365.08808653595</v>
      </c>
      <c r="D8" s="45">
        <v>89343.7065</v>
      </c>
      <c r="E8" s="45">
        <v>116631.96672804789</v>
      </c>
      <c r="F8" s="45">
        <v>73083.145220000006</v>
      </c>
      <c r="G8" s="45">
        <v>64525.3608520329</v>
      </c>
      <c r="H8" s="46">
        <v>0.25752879451050581</v>
      </c>
      <c r="I8" s="46">
        <v>-0.11709655273053543</v>
      </c>
      <c r="J8" s="46">
        <v>0.15220759605670464</v>
      </c>
    </row>
    <row r="9" spans="1:10" ht="11.25" customHeight="1" x14ac:dyDescent="0.2">
      <c r="A9" s="54" t="s">
        <v>35</v>
      </c>
      <c r="B9" s="45">
        <v>0</v>
      </c>
      <c r="C9" s="45">
        <v>0</v>
      </c>
      <c r="D9" s="45">
        <v>35188.127220000002</v>
      </c>
      <c r="E9" s="45">
        <v>50616.519495908382</v>
      </c>
      <c r="F9" s="45">
        <v>68714.028380000003</v>
      </c>
      <c r="G9" s="45">
        <v>60667.852532473829</v>
      </c>
      <c r="H9" s="46">
        <v>0.43845448720383406</v>
      </c>
      <c r="I9" s="46">
        <v>-0.11709655273053532</v>
      </c>
      <c r="J9" s="46">
        <v>7.1049694645432426E-2</v>
      </c>
    </row>
    <row r="10" spans="1:10" ht="11.25" customHeight="1" x14ac:dyDescent="0.2">
      <c r="A10" s="55">
        <v>44378</v>
      </c>
      <c r="B10" s="45">
        <v>0</v>
      </c>
      <c r="C10" s="45">
        <v>0</v>
      </c>
      <c r="D10" s="45">
        <v>3367.9236900000001</v>
      </c>
      <c r="E10" s="45">
        <v>4844.6049444405953</v>
      </c>
      <c r="F10" s="45">
        <v>6576.7525100000003</v>
      </c>
      <c r="G10" s="45">
        <v>5806.6374629171041</v>
      </c>
      <c r="H10" s="46">
        <v>0.43845448720383429</v>
      </c>
      <c r="I10" s="46">
        <v>-0.11709655273053543</v>
      </c>
      <c r="J10" s="46">
        <v>7.1049694645432426E-2</v>
      </c>
    </row>
    <row r="11" spans="1:10" ht="11.25" customHeight="1" x14ac:dyDescent="0.2">
      <c r="A11" s="55">
        <v>44409</v>
      </c>
      <c r="B11" s="45">
        <v>0</v>
      </c>
      <c r="C11" s="45">
        <v>0</v>
      </c>
      <c r="D11" s="45">
        <v>4002.2329799999998</v>
      </c>
      <c r="E11" s="45">
        <v>5757.0299889161734</v>
      </c>
      <c r="F11" s="45">
        <v>7815.4074200000005</v>
      </c>
      <c r="G11" s="45">
        <v>6900.2501529333531</v>
      </c>
      <c r="H11" s="46">
        <v>0.43845448720383429</v>
      </c>
      <c r="I11" s="46">
        <v>-0.11709655273053532</v>
      </c>
      <c r="J11" s="46">
        <v>7.1049694645432426E-2</v>
      </c>
    </row>
    <row r="12" spans="1:10" ht="11.25" customHeight="1" x14ac:dyDescent="0.2">
      <c r="A12" s="55">
        <v>44440</v>
      </c>
      <c r="B12" s="45">
        <v>0</v>
      </c>
      <c r="C12" s="45">
        <v>0</v>
      </c>
      <c r="D12" s="45">
        <v>5671.5070500000002</v>
      </c>
      <c r="E12" s="45">
        <v>8158.2047652806814</v>
      </c>
      <c r="F12" s="45">
        <v>11075.10195</v>
      </c>
      <c r="G12" s="45">
        <v>9778.2456905157705</v>
      </c>
      <c r="H12" s="46">
        <v>0.43845448720383429</v>
      </c>
      <c r="I12" s="46">
        <v>-0.11709655273053532</v>
      </c>
      <c r="J12" s="46">
        <v>7.1049694645432648E-2</v>
      </c>
    </row>
    <row r="13" spans="1:10" ht="11.25" customHeight="1" x14ac:dyDescent="0.2">
      <c r="A13" s="55">
        <v>44470</v>
      </c>
      <c r="B13" s="45">
        <v>0</v>
      </c>
      <c r="C13" s="45">
        <v>0</v>
      </c>
      <c r="D13" s="45">
        <v>1035.6400800000001</v>
      </c>
      <c r="E13" s="45">
        <v>1489.7211202041381</v>
      </c>
      <c r="F13" s="45">
        <v>2022.35832</v>
      </c>
      <c r="G13" s="45">
        <v>1785.5471323420832</v>
      </c>
      <c r="H13" s="46">
        <v>0.43845448720383429</v>
      </c>
      <c r="I13" s="46">
        <v>-0.11709655273053532</v>
      </c>
      <c r="J13" s="46">
        <v>7.1049694645432426E-2</v>
      </c>
    </row>
    <row r="14" spans="1:10" ht="11.25" customHeight="1" x14ac:dyDescent="0.2">
      <c r="A14" s="55">
        <v>44501</v>
      </c>
      <c r="B14" s="45">
        <v>0</v>
      </c>
      <c r="C14" s="45">
        <v>0</v>
      </c>
      <c r="D14" s="45">
        <v>1087.77324</v>
      </c>
      <c r="E14" s="45">
        <v>1564.7122981382533</v>
      </c>
      <c r="F14" s="45">
        <v>2124.1619600000004</v>
      </c>
      <c r="G14" s="45">
        <v>1875.429917042663</v>
      </c>
      <c r="H14" s="46">
        <v>0.43845448720383429</v>
      </c>
      <c r="I14" s="46">
        <v>-0.11709655273053532</v>
      </c>
      <c r="J14" s="46">
        <v>7.1049694645432426E-2</v>
      </c>
    </row>
    <row r="15" spans="1:10" ht="11.25" customHeight="1" x14ac:dyDescent="0.2">
      <c r="A15" s="55">
        <v>44531</v>
      </c>
      <c r="B15" s="45">
        <v>0</v>
      </c>
      <c r="C15" s="45">
        <v>0</v>
      </c>
      <c r="D15" s="45">
        <v>902.67351000000008</v>
      </c>
      <c r="E15" s="45">
        <v>1298.4547609395354</v>
      </c>
      <c r="F15" s="45">
        <v>1762.7062900000001</v>
      </c>
      <c r="G15" s="45">
        <v>1556.2994599645688</v>
      </c>
      <c r="H15" s="46">
        <v>0.43845448720383429</v>
      </c>
      <c r="I15" s="46">
        <v>-0.11709655273053532</v>
      </c>
      <c r="J15" s="46">
        <v>7.1049694645432426E-2</v>
      </c>
    </row>
    <row r="16" spans="1:10" ht="11.25" customHeight="1" x14ac:dyDescent="0.2">
      <c r="A16" s="55">
        <v>44562</v>
      </c>
      <c r="B16" s="45">
        <v>0</v>
      </c>
      <c r="C16" s="45">
        <v>0</v>
      </c>
      <c r="D16" s="45">
        <v>765.18242999999995</v>
      </c>
      <c r="E16" s="45">
        <v>1100.6800999630339</v>
      </c>
      <c r="F16" s="45">
        <v>1494.2189699999999</v>
      </c>
      <c r="G16" s="45">
        <v>1319.2510795884289</v>
      </c>
      <c r="H16" s="46">
        <v>0.43845448720383451</v>
      </c>
      <c r="I16" s="46">
        <v>-0.11709655273053521</v>
      </c>
      <c r="J16" s="46">
        <v>7.1049694645432648E-2</v>
      </c>
    </row>
    <row r="17" spans="1:10" ht="11.25" customHeight="1" x14ac:dyDescent="0.2">
      <c r="A17" s="55">
        <v>44593</v>
      </c>
      <c r="B17" s="45">
        <v>0</v>
      </c>
      <c r="C17" s="45">
        <v>0</v>
      </c>
      <c r="D17" s="45">
        <v>2022.92868</v>
      </c>
      <c r="E17" s="45">
        <v>2909.8908370393292</v>
      </c>
      <c r="F17" s="45">
        <v>3950.29772</v>
      </c>
      <c r="G17" s="45">
        <v>3487.7314747287064</v>
      </c>
      <c r="H17" s="46">
        <v>0.43845448720383429</v>
      </c>
      <c r="I17" s="46">
        <v>-0.11709655273053532</v>
      </c>
      <c r="J17" s="46">
        <v>7.1049694645432426E-2</v>
      </c>
    </row>
    <row r="18" spans="1:10" ht="11.25" customHeight="1" x14ac:dyDescent="0.2">
      <c r="A18" s="55">
        <v>44621</v>
      </c>
      <c r="B18" s="45">
        <v>0</v>
      </c>
      <c r="C18" s="45">
        <v>0</v>
      </c>
      <c r="D18" s="45">
        <v>4070.1006299999999</v>
      </c>
      <c r="E18" s="45">
        <v>5854.6545145946529</v>
      </c>
      <c r="F18" s="45">
        <v>7947.9367700000003</v>
      </c>
      <c r="G18" s="45">
        <v>7017.2607729127349</v>
      </c>
      <c r="H18" s="46">
        <v>0.43845448720383429</v>
      </c>
      <c r="I18" s="46">
        <v>-0.11709655273053532</v>
      </c>
      <c r="J18" s="46">
        <v>7.1049694645432426E-2</v>
      </c>
    </row>
    <row r="19" spans="1:10" ht="11.25" customHeight="1" x14ac:dyDescent="0.2">
      <c r="A19" s="55">
        <v>44652</v>
      </c>
      <c r="B19" s="45">
        <v>0</v>
      </c>
      <c r="C19" s="45">
        <v>0</v>
      </c>
      <c r="D19" s="45">
        <v>3383.0504100000003</v>
      </c>
      <c r="E19" s="45">
        <v>4866.3640427012715</v>
      </c>
      <c r="F19" s="45">
        <v>6606.2913900000003</v>
      </c>
      <c r="G19" s="45">
        <v>5832.7174418975837</v>
      </c>
      <c r="H19" s="46">
        <v>0.43845448720383429</v>
      </c>
      <c r="I19" s="46">
        <v>-0.11709655273053532</v>
      </c>
      <c r="J19" s="46">
        <v>7.1049694645432426E-2</v>
      </c>
    </row>
    <row r="20" spans="1:10" ht="11.25" customHeight="1" x14ac:dyDescent="0.2">
      <c r="A20" s="55">
        <v>44682</v>
      </c>
      <c r="B20" s="45">
        <v>0</v>
      </c>
      <c r="C20" s="45">
        <v>0</v>
      </c>
      <c r="D20" s="45">
        <v>4340.0855700000002</v>
      </c>
      <c r="E20" s="45">
        <v>6243.0155630151112</v>
      </c>
      <c r="F20" s="45">
        <v>8475.1530300000013</v>
      </c>
      <c r="G20" s="45">
        <v>7482.7418263232494</v>
      </c>
      <c r="H20" s="46">
        <v>0.43845448720383429</v>
      </c>
      <c r="I20" s="46">
        <v>-0.11709655273053543</v>
      </c>
      <c r="J20" s="46">
        <v>7.1049694645432426E-2</v>
      </c>
    </row>
    <row r="21" spans="1:10" ht="11.25" customHeight="1" x14ac:dyDescent="0.2">
      <c r="A21" s="55">
        <v>44713</v>
      </c>
      <c r="B21" s="45">
        <v>0</v>
      </c>
      <c r="C21" s="45">
        <v>0</v>
      </c>
      <c r="D21" s="45">
        <v>4539.0289499999999</v>
      </c>
      <c r="E21" s="45">
        <v>6529.1865606756091</v>
      </c>
      <c r="F21" s="45">
        <v>8863.6420500000004</v>
      </c>
      <c r="G21" s="45">
        <v>7825.7401213075855</v>
      </c>
      <c r="H21" s="46">
        <v>0.43845448720383451</v>
      </c>
      <c r="I21" s="46">
        <v>-0.11709655273053532</v>
      </c>
      <c r="J21" s="46">
        <v>7.1049694645432426E-2</v>
      </c>
    </row>
    <row r="22" spans="1:10" ht="11.25" customHeight="1" x14ac:dyDescent="0.2">
      <c r="A22" s="54" t="s">
        <v>25</v>
      </c>
      <c r="B22" s="45">
        <v>97528.400000000009</v>
      </c>
      <c r="C22" s="45">
        <v>118365.08808653595</v>
      </c>
      <c r="D22" s="45">
        <v>0</v>
      </c>
      <c r="E22" s="45">
        <v>0</v>
      </c>
      <c r="F22" s="45">
        <v>0</v>
      </c>
      <c r="G22" s="45">
        <v>0</v>
      </c>
      <c r="H22" s="46">
        <v>0.21364738975043096</v>
      </c>
      <c r="I22" s="46">
        <v>0</v>
      </c>
      <c r="J22" s="46">
        <v>0.21364738975043096</v>
      </c>
    </row>
    <row r="23" spans="1:10" ht="11.25" customHeight="1" x14ac:dyDescent="0.2">
      <c r="A23" s="55">
        <v>44378</v>
      </c>
      <c r="B23" s="45">
        <v>9069.52</v>
      </c>
      <c r="C23" s="45">
        <v>11007.199274289333</v>
      </c>
      <c r="D23" s="45">
        <v>0</v>
      </c>
      <c r="E23" s="45">
        <v>0</v>
      </c>
      <c r="F23" s="45">
        <v>0</v>
      </c>
      <c r="G23" s="45">
        <v>0</v>
      </c>
      <c r="H23" s="46">
        <v>0.2136473897504314</v>
      </c>
      <c r="I23" s="46">
        <v>0</v>
      </c>
      <c r="J23" s="46">
        <v>0.2136473897504314</v>
      </c>
    </row>
    <row r="24" spans="1:10" ht="11.25" customHeight="1" x14ac:dyDescent="0.2">
      <c r="A24" s="55">
        <v>44409</v>
      </c>
      <c r="B24" s="45">
        <v>9224.82</v>
      </c>
      <c r="C24" s="45">
        <v>11195.678713917574</v>
      </c>
      <c r="D24" s="45">
        <v>0</v>
      </c>
      <c r="E24" s="45">
        <v>0</v>
      </c>
      <c r="F24" s="45">
        <v>0</v>
      </c>
      <c r="G24" s="45">
        <v>0</v>
      </c>
      <c r="H24" s="46">
        <v>0.2136473897504314</v>
      </c>
      <c r="I24" s="46">
        <v>0</v>
      </c>
      <c r="J24" s="46">
        <v>0.2136473897504314</v>
      </c>
    </row>
    <row r="25" spans="1:10" ht="11.25" customHeight="1" x14ac:dyDescent="0.2">
      <c r="A25" s="55">
        <v>44440</v>
      </c>
      <c r="B25" s="45">
        <v>11833.859999999999</v>
      </c>
      <c r="C25" s="45">
        <v>14362.133299672039</v>
      </c>
      <c r="D25" s="45">
        <v>0</v>
      </c>
      <c r="E25" s="45">
        <v>0</v>
      </c>
      <c r="F25" s="45">
        <v>0</v>
      </c>
      <c r="G25" s="45">
        <v>0</v>
      </c>
      <c r="H25" s="46">
        <v>0.2136473897504314</v>
      </c>
      <c r="I25" s="46">
        <v>0</v>
      </c>
      <c r="J25" s="46">
        <v>0.2136473897504314</v>
      </c>
    </row>
    <row r="26" spans="1:10" ht="11.25" customHeight="1" x14ac:dyDescent="0.2">
      <c r="A26" s="55">
        <v>44470</v>
      </c>
      <c r="B26" s="45">
        <v>8696.7999999999993</v>
      </c>
      <c r="C26" s="45">
        <v>10554.848619181552</v>
      </c>
      <c r="D26" s="45">
        <v>0</v>
      </c>
      <c r="E26" s="45">
        <v>0</v>
      </c>
      <c r="F26" s="45">
        <v>0</v>
      </c>
      <c r="G26" s="45">
        <v>0</v>
      </c>
      <c r="H26" s="46">
        <v>0.2136473897504314</v>
      </c>
      <c r="I26" s="46">
        <v>0</v>
      </c>
      <c r="J26" s="46">
        <v>0.2136473897504314</v>
      </c>
    </row>
    <row r="27" spans="1:10" ht="11.25" customHeight="1" x14ac:dyDescent="0.2">
      <c r="A27" s="55">
        <v>44501</v>
      </c>
      <c r="B27" s="45">
        <v>8696.7999999999993</v>
      </c>
      <c r="C27" s="45">
        <v>10554.848619181552</v>
      </c>
      <c r="D27" s="45">
        <v>0</v>
      </c>
      <c r="E27" s="45">
        <v>0</v>
      </c>
      <c r="F27" s="45">
        <v>0</v>
      </c>
      <c r="G27" s="45">
        <v>0</v>
      </c>
      <c r="H27" s="46">
        <v>0.2136473897504314</v>
      </c>
      <c r="I27" s="46">
        <v>0</v>
      </c>
      <c r="J27" s="46">
        <v>0.2136473897504314</v>
      </c>
    </row>
    <row r="28" spans="1:10" ht="11.25" customHeight="1" x14ac:dyDescent="0.2">
      <c r="A28" s="55">
        <v>44531</v>
      </c>
      <c r="B28" s="45">
        <v>8696.7999999999993</v>
      </c>
      <c r="C28" s="45">
        <v>10554.848619181552</v>
      </c>
      <c r="D28" s="45">
        <v>0</v>
      </c>
      <c r="E28" s="45">
        <v>0</v>
      </c>
      <c r="F28" s="45">
        <v>0</v>
      </c>
      <c r="G28" s="45">
        <v>0</v>
      </c>
      <c r="H28" s="46">
        <v>0.2136473897504314</v>
      </c>
      <c r="I28" s="46">
        <v>0</v>
      </c>
      <c r="J28" s="46">
        <v>0.2136473897504314</v>
      </c>
    </row>
    <row r="29" spans="1:10" ht="11.25" customHeight="1" x14ac:dyDescent="0.2">
      <c r="A29" s="55">
        <v>44562</v>
      </c>
      <c r="B29" s="45">
        <v>8696.7999999999993</v>
      </c>
      <c r="C29" s="45">
        <v>10554.848619181552</v>
      </c>
      <c r="D29" s="45">
        <v>0</v>
      </c>
      <c r="E29" s="45">
        <v>0</v>
      </c>
      <c r="F29" s="45">
        <v>0</v>
      </c>
      <c r="G29" s="45">
        <v>0</v>
      </c>
      <c r="H29" s="46">
        <v>0.2136473897504314</v>
      </c>
      <c r="I29" s="46">
        <v>0</v>
      </c>
      <c r="J29" s="46">
        <v>0.2136473897504314</v>
      </c>
    </row>
    <row r="30" spans="1:10" ht="11.25" customHeight="1" x14ac:dyDescent="0.2">
      <c r="A30" s="55">
        <v>44593</v>
      </c>
      <c r="B30" s="45">
        <v>8696.7999999999993</v>
      </c>
      <c r="C30" s="45">
        <v>10554.848619181552</v>
      </c>
      <c r="D30" s="45">
        <v>0</v>
      </c>
      <c r="E30" s="45">
        <v>0</v>
      </c>
      <c r="F30" s="45">
        <v>0</v>
      </c>
      <c r="G30" s="45">
        <v>0</v>
      </c>
      <c r="H30" s="46">
        <v>0.2136473897504314</v>
      </c>
      <c r="I30" s="46">
        <v>0</v>
      </c>
      <c r="J30" s="46">
        <v>0.2136473897504314</v>
      </c>
    </row>
    <row r="31" spans="1:10" ht="11.25" customHeight="1" x14ac:dyDescent="0.2">
      <c r="A31" s="55">
        <v>44621</v>
      </c>
      <c r="B31" s="45">
        <v>5963.5199999999995</v>
      </c>
      <c r="C31" s="45">
        <v>7237.6104817244923</v>
      </c>
      <c r="D31" s="45">
        <v>0</v>
      </c>
      <c r="E31" s="45">
        <v>0</v>
      </c>
      <c r="F31" s="45">
        <v>0</v>
      </c>
      <c r="G31" s="45">
        <v>0</v>
      </c>
      <c r="H31" s="46">
        <v>0.2136473897504314</v>
      </c>
      <c r="I31" s="46">
        <v>0</v>
      </c>
      <c r="J31" s="46">
        <v>0.2136473897504314</v>
      </c>
    </row>
    <row r="32" spans="1:10" ht="11.25" customHeight="1" x14ac:dyDescent="0.2">
      <c r="A32" s="55">
        <v>44652</v>
      </c>
      <c r="B32" s="45">
        <v>6056.7</v>
      </c>
      <c r="C32" s="45">
        <v>7350.6981455014384</v>
      </c>
      <c r="D32" s="45">
        <v>0</v>
      </c>
      <c r="E32" s="45">
        <v>0</v>
      </c>
      <c r="F32" s="45">
        <v>0</v>
      </c>
      <c r="G32" s="45">
        <v>0</v>
      </c>
      <c r="H32" s="46">
        <v>0.21364738975043163</v>
      </c>
      <c r="I32" s="46">
        <v>0</v>
      </c>
      <c r="J32" s="46">
        <v>0.21364738975043163</v>
      </c>
    </row>
    <row r="33" spans="1:10" ht="11.25" customHeight="1" x14ac:dyDescent="0.2">
      <c r="A33" s="55">
        <v>44682</v>
      </c>
      <c r="B33" s="45">
        <v>5901.4</v>
      </c>
      <c r="C33" s="45">
        <v>7162.2187058731961</v>
      </c>
      <c r="D33" s="45">
        <v>0</v>
      </c>
      <c r="E33" s="45">
        <v>0</v>
      </c>
      <c r="F33" s="45">
        <v>0</v>
      </c>
      <c r="G33" s="45">
        <v>0</v>
      </c>
      <c r="H33" s="46">
        <v>0.2136473897504314</v>
      </c>
      <c r="I33" s="46">
        <v>0</v>
      </c>
      <c r="J33" s="46">
        <v>0.2136473897504314</v>
      </c>
    </row>
    <row r="34" spans="1:10" ht="11.25" customHeight="1" x14ac:dyDescent="0.2">
      <c r="A34" s="55">
        <v>44713</v>
      </c>
      <c r="B34" s="45">
        <v>5994.58</v>
      </c>
      <c r="C34" s="45">
        <v>7275.3063696501413</v>
      </c>
      <c r="D34" s="45">
        <v>0</v>
      </c>
      <c r="E34" s="45">
        <v>0</v>
      </c>
      <c r="F34" s="45">
        <v>0</v>
      </c>
      <c r="G34" s="45">
        <v>0</v>
      </c>
      <c r="H34" s="46">
        <v>0.2136473897504314</v>
      </c>
      <c r="I34" s="46">
        <v>0</v>
      </c>
      <c r="J34" s="46">
        <v>0.2136473897504314</v>
      </c>
    </row>
    <row r="35" spans="1:10" ht="11.25" customHeight="1" x14ac:dyDescent="0.2">
      <c r="A35" s="54" t="s">
        <v>34</v>
      </c>
      <c r="B35" s="45">
        <v>0</v>
      </c>
      <c r="C35" s="45">
        <v>0</v>
      </c>
      <c r="D35" s="45">
        <v>54155.579279999991</v>
      </c>
      <c r="E35" s="45">
        <v>66015.447232139501</v>
      </c>
      <c r="F35" s="45">
        <v>4369.1168399999997</v>
      </c>
      <c r="G35" s="45">
        <v>3857.5083195590701</v>
      </c>
      <c r="H35" s="46">
        <v>0.21899623473364693</v>
      </c>
      <c r="I35" s="46">
        <v>-0.11709655273053532</v>
      </c>
      <c r="J35" s="46">
        <v>0.19390548236986871</v>
      </c>
    </row>
    <row r="36" spans="1:10" ht="11.25" customHeight="1" x14ac:dyDescent="0.2">
      <c r="A36" s="55">
        <v>44378</v>
      </c>
      <c r="B36" s="45">
        <v>0</v>
      </c>
      <c r="C36" s="45">
        <v>0</v>
      </c>
      <c r="D36" s="45">
        <v>2345.5648999999999</v>
      </c>
      <c r="E36" s="45">
        <v>2859.2347814234031</v>
      </c>
      <c r="F36" s="45">
        <v>189.23345</v>
      </c>
      <c r="G36" s="45">
        <v>167.07486534369389</v>
      </c>
      <c r="H36" s="46">
        <v>0.21899623473364693</v>
      </c>
      <c r="I36" s="46">
        <v>-0.11709655273053532</v>
      </c>
      <c r="J36" s="46">
        <v>0.19390548236986871</v>
      </c>
    </row>
    <row r="37" spans="1:10" ht="11.25" customHeight="1" x14ac:dyDescent="0.2">
      <c r="A37" s="55">
        <v>44409</v>
      </c>
      <c r="B37" s="45">
        <v>0</v>
      </c>
      <c r="C37" s="45">
        <v>0</v>
      </c>
      <c r="D37" s="45">
        <v>4450.8524199999993</v>
      </c>
      <c r="E37" s="45">
        <v>5425.5723413351407</v>
      </c>
      <c r="F37" s="45">
        <v>359.08200999999997</v>
      </c>
      <c r="G37" s="45">
        <v>317.0347444814484</v>
      </c>
      <c r="H37" s="46">
        <v>0.21899623473364715</v>
      </c>
      <c r="I37" s="46">
        <v>-0.11709655273053521</v>
      </c>
      <c r="J37" s="46">
        <v>0.19390548236986893</v>
      </c>
    </row>
    <row r="38" spans="1:10" ht="11.25" customHeight="1" x14ac:dyDescent="0.2">
      <c r="A38" s="55">
        <v>44440</v>
      </c>
      <c r="B38" s="45">
        <v>0</v>
      </c>
      <c r="C38" s="45">
        <v>0</v>
      </c>
      <c r="D38" s="45">
        <v>7527.0567000000001</v>
      </c>
      <c r="E38" s="45">
        <v>9175.4537759266714</v>
      </c>
      <c r="F38" s="45">
        <v>607.26135000000011</v>
      </c>
      <c r="G38" s="45">
        <v>536.15313930850903</v>
      </c>
      <c r="H38" s="46">
        <v>0.21899623473364715</v>
      </c>
      <c r="I38" s="46">
        <v>-0.11709655273053532</v>
      </c>
      <c r="J38" s="46">
        <v>0.19390548236986893</v>
      </c>
    </row>
    <row r="39" spans="1:10" ht="11.25" customHeight="1" x14ac:dyDescent="0.2">
      <c r="A39" s="55">
        <v>44470</v>
      </c>
      <c r="B39" s="45">
        <v>0</v>
      </c>
      <c r="C39" s="45">
        <v>0</v>
      </c>
      <c r="D39" s="45">
        <v>1095.1418000000001</v>
      </c>
      <c r="E39" s="45">
        <v>1334.9737306994286</v>
      </c>
      <c r="F39" s="45">
        <v>88.352900000000005</v>
      </c>
      <c r="G39" s="45">
        <v>78.007079986254297</v>
      </c>
      <c r="H39" s="46">
        <v>0.21899623473364693</v>
      </c>
      <c r="I39" s="46">
        <v>-0.11709655273053521</v>
      </c>
      <c r="J39" s="46">
        <v>0.19390548236986827</v>
      </c>
    </row>
    <row r="40" spans="1:10" ht="11.25" customHeight="1" x14ac:dyDescent="0.2">
      <c r="A40" s="55">
        <v>44501</v>
      </c>
      <c r="B40" s="45">
        <v>0</v>
      </c>
      <c r="C40" s="45">
        <v>0</v>
      </c>
      <c r="D40" s="45">
        <v>1734.2469399999998</v>
      </c>
      <c r="E40" s="45">
        <v>2114.0404899583486</v>
      </c>
      <c r="F40" s="45">
        <v>139.91407000000001</v>
      </c>
      <c r="G40" s="45">
        <v>123.53061472450119</v>
      </c>
      <c r="H40" s="46">
        <v>0.21899623473364693</v>
      </c>
      <c r="I40" s="46">
        <v>-0.11709655273053532</v>
      </c>
      <c r="J40" s="46">
        <v>0.19390548236986849</v>
      </c>
    </row>
    <row r="41" spans="1:10" ht="11.25" customHeight="1" x14ac:dyDescent="0.2">
      <c r="A41" s="55">
        <v>44531</v>
      </c>
      <c r="B41" s="45">
        <v>0</v>
      </c>
      <c r="C41" s="45">
        <v>0</v>
      </c>
      <c r="D41" s="45">
        <v>3040.2444</v>
      </c>
      <c r="E41" s="45">
        <v>3706.0464762700558</v>
      </c>
      <c r="F41" s="45">
        <v>245.27820000000003</v>
      </c>
      <c r="G41" s="45">
        <v>216.55696832004924</v>
      </c>
      <c r="H41" s="46">
        <v>0.21899623473364693</v>
      </c>
      <c r="I41" s="46">
        <v>-0.11709655273053532</v>
      </c>
      <c r="J41" s="46">
        <v>0.19390548236986849</v>
      </c>
    </row>
    <row r="42" spans="1:10" ht="11.25" customHeight="1" x14ac:dyDescent="0.2">
      <c r="A42" s="55">
        <v>44562</v>
      </c>
      <c r="B42" s="45">
        <v>0</v>
      </c>
      <c r="C42" s="45">
        <v>0</v>
      </c>
      <c r="D42" s="45">
        <v>933.32233999999994</v>
      </c>
      <c r="E42" s="45">
        <v>1137.7164182527965</v>
      </c>
      <c r="F42" s="45">
        <v>75.29777</v>
      </c>
      <c r="G42" s="45">
        <v>66.480660704703283</v>
      </c>
      <c r="H42" s="46">
        <v>0.21899623473364693</v>
      </c>
      <c r="I42" s="46">
        <v>-0.11709655273053532</v>
      </c>
      <c r="J42" s="46">
        <v>0.19390548236986849</v>
      </c>
    </row>
    <row r="43" spans="1:10" ht="11.25" customHeight="1" x14ac:dyDescent="0.2">
      <c r="A43" s="55">
        <v>44593</v>
      </c>
      <c r="B43" s="45">
        <v>0</v>
      </c>
      <c r="C43" s="45">
        <v>0</v>
      </c>
      <c r="D43" s="45">
        <v>3855.87986</v>
      </c>
      <c r="E43" s="45">
        <v>4700.3030309253018</v>
      </c>
      <c r="F43" s="45">
        <v>311.08133000000004</v>
      </c>
      <c r="G43" s="45">
        <v>274.65477863816994</v>
      </c>
      <c r="H43" s="46">
        <v>0.21899623473364693</v>
      </c>
      <c r="I43" s="46">
        <v>-0.11709655273053543</v>
      </c>
      <c r="J43" s="46">
        <v>0.19390548236986849</v>
      </c>
    </row>
    <row r="44" spans="1:10" ht="11.25" customHeight="1" x14ac:dyDescent="0.2">
      <c r="A44" s="55">
        <v>44621</v>
      </c>
      <c r="B44" s="45">
        <v>0</v>
      </c>
      <c r="C44" s="45">
        <v>0</v>
      </c>
      <c r="D44" s="45">
        <v>10361.34906</v>
      </c>
      <c r="E44" s="45">
        <v>12630.445490901013</v>
      </c>
      <c r="F44" s="45">
        <v>835.92393000000004</v>
      </c>
      <c r="G44" s="45">
        <v>738.04011945203877</v>
      </c>
      <c r="H44" s="46">
        <v>0.21899623473364693</v>
      </c>
      <c r="I44" s="46">
        <v>-0.11709655273053532</v>
      </c>
      <c r="J44" s="46">
        <v>0.19390548236986849</v>
      </c>
    </row>
    <row r="45" spans="1:10" ht="11.25" customHeight="1" x14ac:dyDescent="0.2">
      <c r="A45" s="55">
        <v>44652</v>
      </c>
      <c r="B45" s="45">
        <v>0</v>
      </c>
      <c r="C45" s="45">
        <v>0</v>
      </c>
      <c r="D45" s="45">
        <v>6775.1682999999994</v>
      </c>
      <c r="E45" s="45">
        <v>8258.9046473867638</v>
      </c>
      <c r="F45" s="45">
        <v>546.60114999999996</v>
      </c>
      <c r="G45" s="45">
        <v>482.59603961645371</v>
      </c>
      <c r="H45" s="46">
        <v>0.21899623473364715</v>
      </c>
      <c r="I45" s="46">
        <v>-0.11709655273053532</v>
      </c>
      <c r="J45" s="46">
        <v>0.19390548236986871</v>
      </c>
    </row>
    <row r="46" spans="1:10" ht="11.25" customHeight="1" x14ac:dyDescent="0.2">
      <c r="A46" s="55">
        <v>44682</v>
      </c>
      <c r="B46" s="45">
        <v>0</v>
      </c>
      <c r="C46" s="45">
        <v>0</v>
      </c>
      <c r="D46" s="45">
        <v>5722.5245399999994</v>
      </c>
      <c r="E46" s="45">
        <v>6975.7358674308953</v>
      </c>
      <c r="F46" s="45">
        <v>461.67687000000001</v>
      </c>
      <c r="G46" s="45">
        <v>407.61610004757648</v>
      </c>
      <c r="H46" s="46">
        <v>0.21899623473364715</v>
      </c>
      <c r="I46" s="46">
        <v>-0.11709655273053543</v>
      </c>
      <c r="J46" s="46">
        <v>0.19390548236986871</v>
      </c>
    </row>
    <row r="47" spans="1:10" ht="11.25" customHeight="1" x14ac:dyDescent="0.2">
      <c r="A47" s="55">
        <v>44713</v>
      </c>
      <c r="B47" s="45">
        <v>0</v>
      </c>
      <c r="C47" s="45">
        <v>0</v>
      </c>
      <c r="D47" s="45">
        <v>6314.2280199999996</v>
      </c>
      <c r="E47" s="45">
        <v>7697.0201816296913</v>
      </c>
      <c r="F47" s="45">
        <v>509.41381000000001</v>
      </c>
      <c r="G47" s="45">
        <v>449.76320893567214</v>
      </c>
      <c r="H47" s="46">
        <v>0.21899623473364715</v>
      </c>
      <c r="I47" s="46">
        <v>-0.11709655273053521</v>
      </c>
      <c r="J47" s="46">
        <v>0.19390548236986871</v>
      </c>
    </row>
    <row r="48" spans="1:10" ht="11.25" customHeight="1" x14ac:dyDescent="0.2">
      <c r="A48" s="50" t="s">
        <v>49</v>
      </c>
      <c r="B48" s="45">
        <v>100541.21999999999</v>
      </c>
      <c r="C48" s="45">
        <v>122021.58921532387</v>
      </c>
      <c r="D48" s="45">
        <v>94139.268290000007</v>
      </c>
      <c r="E48" s="45">
        <v>125474.39014613663</v>
      </c>
      <c r="F48" s="45">
        <v>99032.919430000009</v>
      </c>
      <c r="G48" s="45">
        <v>87436.505957906134</v>
      </c>
      <c r="H48" s="46">
        <v>0.27129319191343648</v>
      </c>
      <c r="I48" s="46">
        <v>-0.11709655273053554</v>
      </c>
      <c r="J48" s="46">
        <v>0.1403377459658266</v>
      </c>
    </row>
    <row r="49" spans="1:10" ht="11.25" customHeight="1" x14ac:dyDescent="0.2">
      <c r="A49" s="51" t="s">
        <v>25</v>
      </c>
      <c r="B49" s="45">
        <v>100541.21999999999</v>
      </c>
      <c r="C49" s="45">
        <v>122021.58921532387</v>
      </c>
      <c r="D49" s="45">
        <v>94139.268290000007</v>
      </c>
      <c r="E49" s="45">
        <v>125474.39014613663</v>
      </c>
      <c r="F49" s="45">
        <v>99032.919430000009</v>
      </c>
      <c r="G49" s="45">
        <v>87436.505957906134</v>
      </c>
      <c r="H49" s="46">
        <v>0.27129319191343648</v>
      </c>
      <c r="I49" s="46">
        <v>-0.11709655273053554</v>
      </c>
      <c r="J49" s="46">
        <v>0.1403377459658266</v>
      </c>
    </row>
    <row r="50" spans="1:10" ht="11.25" customHeight="1" x14ac:dyDescent="0.2">
      <c r="A50" s="52" t="s">
        <v>25</v>
      </c>
      <c r="B50" s="45">
        <v>100541.21999999999</v>
      </c>
      <c r="C50" s="45">
        <v>122021.58921532387</v>
      </c>
      <c r="D50" s="45">
        <v>94139.268290000007</v>
      </c>
      <c r="E50" s="45">
        <v>125474.39014613663</v>
      </c>
      <c r="F50" s="45">
        <v>99032.919430000009</v>
      </c>
      <c r="G50" s="45">
        <v>87436.505957906134</v>
      </c>
      <c r="H50" s="46">
        <v>0.27129319191343648</v>
      </c>
      <c r="I50" s="46">
        <v>-0.11709655273053554</v>
      </c>
      <c r="J50" s="46">
        <v>0.1403377459658266</v>
      </c>
    </row>
    <row r="51" spans="1:10" ht="11.25" customHeight="1" x14ac:dyDescent="0.2">
      <c r="A51" s="53" t="s">
        <v>25</v>
      </c>
      <c r="B51" s="45">
        <v>100541.21999999999</v>
      </c>
      <c r="C51" s="45">
        <v>122021.58921532387</v>
      </c>
      <c r="D51" s="45">
        <v>94139.268290000007</v>
      </c>
      <c r="E51" s="45">
        <v>125474.39014613663</v>
      </c>
      <c r="F51" s="45">
        <v>99032.919430000009</v>
      </c>
      <c r="G51" s="45">
        <v>87436.505957906134</v>
      </c>
      <c r="H51" s="46">
        <v>0.27129319191343648</v>
      </c>
      <c r="I51" s="46">
        <v>-0.11709655273053554</v>
      </c>
      <c r="J51" s="46">
        <v>0.1403377459658266</v>
      </c>
    </row>
    <row r="52" spans="1:10" ht="11.25" customHeight="1" x14ac:dyDescent="0.2">
      <c r="A52" s="54" t="s">
        <v>35</v>
      </c>
      <c r="B52" s="45">
        <v>0</v>
      </c>
      <c r="C52" s="45">
        <v>0</v>
      </c>
      <c r="D52" s="45">
        <v>48842.895810000002</v>
      </c>
      <c r="E52" s="45">
        <v>70258.282645923857</v>
      </c>
      <c r="F52" s="45">
        <v>95378.537989999997</v>
      </c>
      <c r="G52" s="45">
        <v>84210.039986892603</v>
      </c>
      <c r="H52" s="46">
        <v>0.43845448720383429</v>
      </c>
      <c r="I52" s="46">
        <v>-0.11709655273053521</v>
      </c>
      <c r="J52" s="46">
        <v>7.1049694645432426E-2</v>
      </c>
    </row>
    <row r="53" spans="1:10" ht="11.25" customHeight="1" x14ac:dyDescent="0.2">
      <c r="A53" s="55">
        <v>44470</v>
      </c>
      <c r="B53" s="45">
        <v>0</v>
      </c>
      <c r="C53" s="45">
        <v>0</v>
      </c>
      <c r="D53" s="45">
        <v>787.53486000000009</v>
      </c>
      <c r="E53" s="45">
        <v>1132.8330531964434</v>
      </c>
      <c r="F53" s="45">
        <v>1537.8679400000001</v>
      </c>
      <c r="G53" s="45">
        <v>1357.7889056711904</v>
      </c>
      <c r="H53" s="46">
        <v>0.43845448720383406</v>
      </c>
      <c r="I53" s="46">
        <v>-0.11709655273053532</v>
      </c>
      <c r="J53" s="46">
        <v>7.1049694645432426E-2</v>
      </c>
    </row>
    <row r="54" spans="1:10" ht="11.25" customHeight="1" x14ac:dyDescent="0.2">
      <c r="A54" s="55">
        <v>44501</v>
      </c>
      <c r="B54" s="45">
        <v>0</v>
      </c>
      <c r="C54" s="45">
        <v>0</v>
      </c>
      <c r="D54" s="45">
        <v>4012.29495</v>
      </c>
      <c r="E54" s="45">
        <v>5771.5036748127841</v>
      </c>
      <c r="F54" s="45">
        <v>7835.0560500000001</v>
      </c>
      <c r="G54" s="45">
        <v>6917.5979960944751</v>
      </c>
      <c r="H54" s="46">
        <v>0.43845448720383429</v>
      </c>
      <c r="I54" s="46">
        <v>-0.11709655273053532</v>
      </c>
      <c r="J54" s="46">
        <v>7.1049694645432426E-2</v>
      </c>
    </row>
    <row r="55" spans="1:10" ht="11.25" customHeight="1" x14ac:dyDescent="0.2">
      <c r="A55" s="55">
        <v>44531</v>
      </c>
      <c r="B55" s="45">
        <v>0</v>
      </c>
      <c r="C55" s="45">
        <v>0</v>
      </c>
      <c r="D55" s="45">
        <v>3622.1741400000001</v>
      </c>
      <c r="E55" s="45">
        <v>5210.3326451166895</v>
      </c>
      <c r="F55" s="45">
        <v>7073.2430599999998</v>
      </c>
      <c r="G55" s="45">
        <v>6244.9906810488174</v>
      </c>
      <c r="H55" s="46">
        <v>0.43845448720383429</v>
      </c>
      <c r="I55" s="46">
        <v>-0.11709655273053521</v>
      </c>
      <c r="J55" s="46">
        <v>7.1049694645432648E-2</v>
      </c>
    </row>
    <row r="56" spans="1:10" ht="11.25" customHeight="1" x14ac:dyDescent="0.2">
      <c r="A56" s="55">
        <v>44562</v>
      </c>
      <c r="B56" s="45">
        <v>0</v>
      </c>
      <c r="C56" s="45">
        <v>0</v>
      </c>
      <c r="D56" s="45">
        <v>5488.9059300000008</v>
      </c>
      <c r="E56" s="45">
        <v>7895.5413648482354</v>
      </c>
      <c r="F56" s="45">
        <v>10718.52547</v>
      </c>
      <c r="G56" s="45">
        <v>9463.4230871085601</v>
      </c>
      <c r="H56" s="46">
        <v>0.43845448720383406</v>
      </c>
      <c r="I56" s="46">
        <v>-0.11709655273053532</v>
      </c>
      <c r="J56" s="46">
        <v>7.1049694645432426E-2</v>
      </c>
    </row>
    <row r="57" spans="1:10" ht="11.25" customHeight="1" x14ac:dyDescent="0.2">
      <c r="A57" s="55">
        <v>44593</v>
      </c>
      <c r="B57" s="45">
        <v>0</v>
      </c>
      <c r="C57" s="45">
        <v>0</v>
      </c>
      <c r="D57" s="45">
        <v>7495.6274100000001</v>
      </c>
      <c r="E57" s="45">
        <v>10782.118882322555</v>
      </c>
      <c r="F57" s="45">
        <v>14637.17439</v>
      </c>
      <c r="G57" s="45">
        <v>12923.211727215325</v>
      </c>
      <c r="H57" s="46">
        <v>0.43845448720383429</v>
      </c>
      <c r="I57" s="46">
        <v>-0.11709655273053532</v>
      </c>
      <c r="J57" s="46">
        <v>7.1049694645432426E-2</v>
      </c>
    </row>
    <row r="58" spans="1:10" ht="11.25" customHeight="1" x14ac:dyDescent="0.2">
      <c r="A58" s="55">
        <v>44621</v>
      </c>
      <c r="B58" s="45">
        <v>0</v>
      </c>
      <c r="C58" s="45">
        <v>0</v>
      </c>
      <c r="D58" s="45">
        <v>9073.5333900000005</v>
      </c>
      <c r="E58" s="45">
        <v>13051.864819639319</v>
      </c>
      <c r="F58" s="45">
        <v>17718.448810000002</v>
      </c>
      <c r="G58" s="45">
        <v>15643.679534616545</v>
      </c>
      <c r="H58" s="46">
        <v>0.43845448720383429</v>
      </c>
      <c r="I58" s="46">
        <v>-0.11709655273053532</v>
      </c>
      <c r="J58" s="46">
        <v>7.1049694645432426E-2</v>
      </c>
    </row>
    <row r="59" spans="1:10" ht="11.25" customHeight="1" x14ac:dyDescent="0.2">
      <c r="A59" s="55">
        <v>44652</v>
      </c>
      <c r="B59" s="45">
        <v>0</v>
      </c>
      <c r="C59" s="45">
        <v>0</v>
      </c>
      <c r="D59" s="45">
        <v>7270.0096800000001</v>
      </c>
      <c r="E59" s="45">
        <v>10457.578046211313</v>
      </c>
      <c r="F59" s="45">
        <v>14196.596720000001</v>
      </c>
      <c r="G59" s="45">
        <v>12534.224183582377</v>
      </c>
      <c r="H59" s="46">
        <v>0.43845448720383451</v>
      </c>
      <c r="I59" s="46">
        <v>-0.11709655273053532</v>
      </c>
      <c r="J59" s="46">
        <v>7.1049694645432648E-2</v>
      </c>
    </row>
    <row r="60" spans="1:10" ht="11.25" customHeight="1" x14ac:dyDescent="0.2">
      <c r="A60" s="55">
        <v>44682</v>
      </c>
      <c r="B60" s="45">
        <v>0</v>
      </c>
      <c r="C60" s="45">
        <v>0</v>
      </c>
      <c r="D60" s="45">
        <v>6145.2300000000005</v>
      </c>
      <c r="E60" s="45">
        <v>8839.6336683996178</v>
      </c>
      <c r="F60" s="45">
        <v>12000.17</v>
      </c>
      <c r="G60" s="45">
        <v>10594.991460819612</v>
      </c>
      <c r="H60" s="46">
        <v>0.43845448720383406</v>
      </c>
      <c r="I60" s="46">
        <v>-0.11709655273053532</v>
      </c>
      <c r="J60" s="46">
        <v>7.1049694645432426E-2</v>
      </c>
    </row>
    <row r="61" spans="1:10" ht="11.25" customHeight="1" x14ac:dyDescent="0.2">
      <c r="A61" s="55">
        <v>44713</v>
      </c>
      <c r="B61" s="45">
        <v>0</v>
      </c>
      <c r="C61" s="45">
        <v>0</v>
      </c>
      <c r="D61" s="45">
        <v>4947.5854500000005</v>
      </c>
      <c r="E61" s="45">
        <v>7116.8764913769019</v>
      </c>
      <c r="F61" s="45">
        <v>9661.4555500000006</v>
      </c>
      <c r="G61" s="45">
        <v>8530.1324107357013</v>
      </c>
      <c r="H61" s="46">
        <v>0.43845448720383429</v>
      </c>
      <c r="I61" s="46">
        <v>-0.11709655273053543</v>
      </c>
      <c r="J61" s="46">
        <v>7.1049694645432426E-2</v>
      </c>
    </row>
    <row r="62" spans="1:10" ht="11.25" customHeight="1" x14ac:dyDescent="0.2">
      <c r="A62" s="54" t="s">
        <v>25</v>
      </c>
      <c r="B62" s="45">
        <v>100541.21999999999</v>
      </c>
      <c r="C62" s="45">
        <v>122021.58921532387</v>
      </c>
      <c r="D62" s="45">
        <v>0</v>
      </c>
      <c r="E62" s="45">
        <v>0</v>
      </c>
      <c r="F62" s="45">
        <v>0</v>
      </c>
      <c r="G62" s="45">
        <v>0</v>
      </c>
      <c r="H62" s="46">
        <v>0.21364738975043163</v>
      </c>
      <c r="I62" s="46">
        <v>0</v>
      </c>
      <c r="J62" s="46">
        <v>0.21364738975043163</v>
      </c>
    </row>
    <row r="63" spans="1:10" ht="11.25" customHeight="1" x14ac:dyDescent="0.2">
      <c r="A63" s="55">
        <v>44470</v>
      </c>
      <c r="B63" s="45">
        <v>3137.06</v>
      </c>
      <c r="C63" s="45">
        <v>3807.2846804904884</v>
      </c>
      <c r="D63" s="45">
        <v>0</v>
      </c>
      <c r="E63" s="45">
        <v>0</v>
      </c>
      <c r="F63" s="45">
        <v>0</v>
      </c>
      <c r="G63" s="45">
        <v>0</v>
      </c>
      <c r="H63" s="46">
        <v>0.2136473897504314</v>
      </c>
      <c r="I63" s="46">
        <v>0</v>
      </c>
      <c r="J63" s="46">
        <v>0.2136473897504314</v>
      </c>
    </row>
    <row r="64" spans="1:10" ht="11.25" customHeight="1" x14ac:dyDescent="0.2">
      <c r="A64" s="55">
        <v>44501</v>
      </c>
      <c r="B64" s="45">
        <v>4130.9799999999996</v>
      </c>
      <c r="C64" s="45">
        <v>5013.5530941112374</v>
      </c>
      <c r="D64" s="45">
        <v>0</v>
      </c>
      <c r="E64" s="45">
        <v>0</v>
      </c>
      <c r="F64" s="45">
        <v>0</v>
      </c>
      <c r="G64" s="45">
        <v>0</v>
      </c>
      <c r="H64" s="46">
        <v>0.21364738975043163</v>
      </c>
      <c r="I64" s="46">
        <v>0</v>
      </c>
      <c r="J64" s="46">
        <v>0.21364738975043163</v>
      </c>
    </row>
    <row r="65" spans="1:10" ht="11.25" customHeight="1" x14ac:dyDescent="0.2">
      <c r="A65" s="55">
        <v>44531</v>
      </c>
      <c r="B65" s="45">
        <v>8572.56</v>
      </c>
      <c r="C65" s="45">
        <v>10404.065067478958</v>
      </c>
      <c r="D65" s="45">
        <v>0</v>
      </c>
      <c r="E65" s="45">
        <v>0</v>
      </c>
      <c r="F65" s="45">
        <v>0</v>
      </c>
      <c r="G65" s="45">
        <v>0</v>
      </c>
      <c r="H65" s="46">
        <v>0.2136473897504314</v>
      </c>
      <c r="I65" s="46">
        <v>0</v>
      </c>
      <c r="J65" s="46">
        <v>0.2136473897504314</v>
      </c>
    </row>
    <row r="66" spans="1:10" ht="11.25" customHeight="1" x14ac:dyDescent="0.2">
      <c r="A66" s="55">
        <v>44562</v>
      </c>
      <c r="B66" s="45">
        <v>5062.78</v>
      </c>
      <c r="C66" s="45">
        <v>6144.4297318806894</v>
      </c>
      <c r="D66" s="45">
        <v>0</v>
      </c>
      <c r="E66" s="45">
        <v>0</v>
      </c>
      <c r="F66" s="45">
        <v>0</v>
      </c>
      <c r="G66" s="45">
        <v>0</v>
      </c>
      <c r="H66" s="46">
        <v>0.21364738975043163</v>
      </c>
      <c r="I66" s="46">
        <v>0</v>
      </c>
      <c r="J66" s="46">
        <v>0.21364738975043163</v>
      </c>
    </row>
    <row r="67" spans="1:10" ht="11.25" customHeight="1" x14ac:dyDescent="0.2">
      <c r="A67" s="55">
        <v>44593</v>
      </c>
      <c r="B67" s="45">
        <v>15530</v>
      </c>
      <c r="C67" s="45">
        <v>18847.9439628242</v>
      </c>
      <c r="D67" s="45">
        <v>0</v>
      </c>
      <c r="E67" s="45">
        <v>0</v>
      </c>
      <c r="F67" s="45">
        <v>0</v>
      </c>
      <c r="G67" s="45">
        <v>0</v>
      </c>
      <c r="H67" s="46">
        <v>0.2136473897504314</v>
      </c>
      <c r="I67" s="46">
        <v>0</v>
      </c>
      <c r="J67" s="46">
        <v>0.2136473897504314</v>
      </c>
    </row>
    <row r="68" spans="1:10" ht="11.25" customHeight="1" x14ac:dyDescent="0.2">
      <c r="A68" s="55">
        <v>44621</v>
      </c>
      <c r="B68" s="45">
        <v>15530</v>
      </c>
      <c r="C68" s="45">
        <v>18847.9439628242</v>
      </c>
      <c r="D68" s="45">
        <v>0</v>
      </c>
      <c r="E68" s="45">
        <v>0</v>
      </c>
      <c r="F68" s="45">
        <v>0</v>
      </c>
      <c r="G68" s="45">
        <v>0</v>
      </c>
      <c r="H68" s="46">
        <v>0.2136473897504314</v>
      </c>
      <c r="I68" s="46">
        <v>0</v>
      </c>
      <c r="J68" s="46">
        <v>0.2136473897504314</v>
      </c>
    </row>
    <row r="69" spans="1:10" ht="11.25" customHeight="1" x14ac:dyDescent="0.2">
      <c r="A69" s="55">
        <v>44652</v>
      </c>
      <c r="B69" s="45">
        <v>16213.32</v>
      </c>
      <c r="C69" s="45">
        <v>19677.253497188463</v>
      </c>
      <c r="D69" s="45">
        <v>0</v>
      </c>
      <c r="E69" s="45">
        <v>0</v>
      </c>
      <c r="F69" s="45">
        <v>0</v>
      </c>
      <c r="G69" s="45">
        <v>0</v>
      </c>
      <c r="H69" s="46">
        <v>0.2136473897504314</v>
      </c>
      <c r="I69" s="46">
        <v>0</v>
      </c>
      <c r="J69" s="46">
        <v>0.2136473897504314</v>
      </c>
    </row>
    <row r="70" spans="1:10" ht="11.25" customHeight="1" x14ac:dyDescent="0.2">
      <c r="A70" s="55">
        <v>44682</v>
      </c>
      <c r="B70" s="45">
        <v>16182.26</v>
      </c>
      <c r="C70" s="45">
        <v>19639.557609262818</v>
      </c>
      <c r="D70" s="45">
        <v>0</v>
      </c>
      <c r="E70" s="45">
        <v>0</v>
      </c>
      <c r="F70" s="45">
        <v>0</v>
      </c>
      <c r="G70" s="45">
        <v>0</v>
      </c>
      <c r="H70" s="46">
        <v>0.2136473897504314</v>
      </c>
      <c r="I70" s="46">
        <v>0</v>
      </c>
      <c r="J70" s="46">
        <v>0.2136473897504314</v>
      </c>
    </row>
    <row r="71" spans="1:10" ht="11.25" customHeight="1" x14ac:dyDescent="0.2">
      <c r="A71" s="55">
        <v>44713</v>
      </c>
      <c r="B71" s="45">
        <v>16182.26</v>
      </c>
      <c r="C71" s="45">
        <v>19639.557609262818</v>
      </c>
      <c r="D71" s="45">
        <v>0</v>
      </c>
      <c r="E71" s="45">
        <v>0</v>
      </c>
      <c r="F71" s="45">
        <v>0</v>
      </c>
      <c r="G71" s="45">
        <v>0</v>
      </c>
      <c r="H71" s="46">
        <v>0.2136473897504314</v>
      </c>
      <c r="I71" s="46">
        <v>0</v>
      </c>
      <c r="J71" s="46">
        <v>0.2136473897504314</v>
      </c>
    </row>
    <row r="72" spans="1:10" ht="11.25" customHeight="1" x14ac:dyDescent="0.2">
      <c r="A72" s="54" t="s">
        <v>34</v>
      </c>
      <c r="B72" s="45">
        <v>0</v>
      </c>
      <c r="C72" s="45">
        <v>0</v>
      </c>
      <c r="D72" s="45">
        <v>45296.372479999998</v>
      </c>
      <c r="E72" s="45">
        <v>55216.107500212784</v>
      </c>
      <c r="F72" s="45">
        <v>3654.3814400000006</v>
      </c>
      <c r="G72" s="45">
        <v>3226.4659710135506</v>
      </c>
      <c r="H72" s="46">
        <v>0.21899623473364693</v>
      </c>
      <c r="I72" s="46">
        <v>-0.11709655273053543</v>
      </c>
      <c r="J72" s="46">
        <v>0.19390548236986871</v>
      </c>
    </row>
    <row r="73" spans="1:10" ht="11.25" customHeight="1" x14ac:dyDescent="0.2">
      <c r="A73" s="55">
        <v>44470</v>
      </c>
      <c r="B73" s="45">
        <v>0</v>
      </c>
      <c r="C73" s="45">
        <v>0</v>
      </c>
      <c r="D73" s="45">
        <v>1732.6124</v>
      </c>
      <c r="E73" s="45">
        <v>2112.0479918528276</v>
      </c>
      <c r="F73" s="45">
        <v>139.78220000000002</v>
      </c>
      <c r="G73" s="45">
        <v>123.41418624690978</v>
      </c>
      <c r="H73" s="46">
        <v>0.21899623473364715</v>
      </c>
      <c r="I73" s="46">
        <v>-0.11709655273053532</v>
      </c>
      <c r="J73" s="46">
        <v>0.19390548236986849</v>
      </c>
    </row>
    <row r="74" spans="1:10" ht="11.25" customHeight="1" x14ac:dyDescent="0.2">
      <c r="A74" s="55">
        <v>44501</v>
      </c>
      <c r="B74" s="45">
        <v>0</v>
      </c>
      <c r="C74" s="45">
        <v>0</v>
      </c>
      <c r="D74" s="45">
        <v>5792.8097600000001</v>
      </c>
      <c r="E74" s="45">
        <v>7061.4132859683214</v>
      </c>
      <c r="F74" s="45">
        <v>467.34728000000001</v>
      </c>
      <c r="G74" s="45">
        <v>412.62252458400775</v>
      </c>
      <c r="H74" s="46">
        <v>0.21899623473364693</v>
      </c>
      <c r="I74" s="46">
        <v>-0.11709655273053532</v>
      </c>
      <c r="J74" s="46">
        <v>0.19390548236986871</v>
      </c>
    </row>
    <row r="75" spans="1:10" ht="11.25" customHeight="1" x14ac:dyDescent="0.2">
      <c r="A75" s="55">
        <v>44531</v>
      </c>
      <c r="B75" s="45">
        <v>0</v>
      </c>
      <c r="C75" s="45">
        <v>0</v>
      </c>
      <c r="D75" s="45">
        <v>6686.9031400000003</v>
      </c>
      <c r="E75" s="45">
        <v>8151.3097496886012</v>
      </c>
      <c r="F75" s="45">
        <v>539.48017000000004</v>
      </c>
      <c r="G75" s="45">
        <v>476.30890182651689</v>
      </c>
      <c r="H75" s="46">
        <v>0.21899623473364693</v>
      </c>
      <c r="I75" s="46">
        <v>-0.11709655273053532</v>
      </c>
      <c r="J75" s="46">
        <v>0.19390548236986871</v>
      </c>
    </row>
    <row r="76" spans="1:10" ht="11.25" customHeight="1" x14ac:dyDescent="0.2">
      <c r="A76" s="55">
        <v>44562</v>
      </c>
      <c r="B76" s="45">
        <v>0</v>
      </c>
      <c r="C76" s="45">
        <v>0</v>
      </c>
      <c r="D76" s="45">
        <v>5429.9418800000003</v>
      </c>
      <c r="E76" s="45">
        <v>6619.0787065425402</v>
      </c>
      <c r="F76" s="45">
        <v>438.07214000000005</v>
      </c>
      <c r="G76" s="45">
        <v>386.77540255871156</v>
      </c>
      <c r="H76" s="46">
        <v>0.21899623473364693</v>
      </c>
      <c r="I76" s="46">
        <v>-0.11709655273053543</v>
      </c>
      <c r="J76" s="46">
        <v>0.19390548236986849</v>
      </c>
    </row>
    <row r="77" spans="1:10" ht="11.25" customHeight="1" x14ac:dyDescent="0.2">
      <c r="A77" s="55">
        <v>44593</v>
      </c>
      <c r="B77" s="45">
        <v>0</v>
      </c>
      <c r="C77" s="45">
        <v>0</v>
      </c>
      <c r="D77" s="45">
        <v>4475.3705199999995</v>
      </c>
      <c r="E77" s="45">
        <v>5455.459812917964</v>
      </c>
      <c r="F77" s="45">
        <v>361.06006000000002</v>
      </c>
      <c r="G77" s="45">
        <v>318.78117164531977</v>
      </c>
      <c r="H77" s="46">
        <v>0.21899623473364715</v>
      </c>
      <c r="I77" s="46">
        <v>-0.11709655273053532</v>
      </c>
      <c r="J77" s="46">
        <v>0.19390548236986893</v>
      </c>
    </row>
    <row r="78" spans="1:10" ht="11.25" customHeight="1" x14ac:dyDescent="0.2">
      <c r="A78" s="55">
        <v>44621</v>
      </c>
      <c r="B78" s="45">
        <v>0</v>
      </c>
      <c r="C78" s="45">
        <v>0</v>
      </c>
      <c r="D78" s="45">
        <v>11852.04954</v>
      </c>
      <c r="E78" s="45">
        <v>14447.603763136653</v>
      </c>
      <c r="F78" s="45">
        <v>956.18937000000005</v>
      </c>
      <c r="G78" s="45">
        <v>844.22289101541776</v>
      </c>
      <c r="H78" s="46">
        <v>0.21899623473364693</v>
      </c>
      <c r="I78" s="46">
        <v>-0.11709655273053521</v>
      </c>
      <c r="J78" s="46">
        <v>0.19390548236986849</v>
      </c>
    </row>
    <row r="79" spans="1:10" ht="11.25" customHeight="1" x14ac:dyDescent="0.2">
      <c r="A79" s="55">
        <v>44652</v>
      </c>
      <c r="B79" s="45">
        <v>0</v>
      </c>
      <c r="C79" s="45">
        <v>0</v>
      </c>
      <c r="D79" s="45">
        <v>4514.5994799999999</v>
      </c>
      <c r="E79" s="45">
        <v>5503.2797674504809</v>
      </c>
      <c r="F79" s="45">
        <v>364.22494</v>
      </c>
      <c r="G79" s="45">
        <v>321.57545510751396</v>
      </c>
      <c r="H79" s="46">
        <v>0.21899623473364715</v>
      </c>
      <c r="I79" s="46">
        <v>-0.11709655273053532</v>
      </c>
      <c r="J79" s="46">
        <v>0.19390548236986871</v>
      </c>
    </row>
    <row r="80" spans="1:10" ht="11.25" customHeight="1" x14ac:dyDescent="0.2">
      <c r="A80" s="55">
        <v>44682</v>
      </c>
      <c r="B80" s="45">
        <v>0</v>
      </c>
      <c r="C80" s="45">
        <v>0</v>
      </c>
      <c r="D80" s="45">
        <v>2407.67742</v>
      </c>
      <c r="E80" s="45">
        <v>2934.9497094332219</v>
      </c>
      <c r="F80" s="45">
        <v>194.24451000000002</v>
      </c>
      <c r="G80" s="45">
        <v>171.49914749216802</v>
      </c>
      <c r="H80" s="46">
        <v>0.21899623473364715</v>
      </c>
      <c r="I80" s="46">
        <v>-0.11709655273053532</v>
      </c>
      <c r="J80" s="46">
        <v>0.19390548236986871</v>
      </c>
    </row>
    <row r="81" spans="1:10" ht="11.25" customHeight="1" x14ac:dyDescent="0.2">
      <c r="A81" s="55">
        <v>44713</v>
      </c>
      <c r="B81" s="45">
        <v>0</v>
      </c>
      <c r="C81" s="45">
        <v>0</v>
      </c>
      <c r="D81" s="45">
        <v>2404.40834</v>
      </c>
      <c r="E81" s="45">
        <v>2930.9647132221785</v>
      </c>
      <c r="F81" s="45">
        <v>193.98077000000001</v>
      </c>
      <c r="G81" s="45">
        <v>171.26629053698517</v>
      </c>
      <c r="H81" s="46">
        <v>0.21899623473364693</v>
      </c>
      <c r="I81" s="46">
        <v>-0.11709655273053532</v>
      </c>
      <c r="J81" s="46">
        <v>0.19390548236986871</v>
      </c>
    </row>
    <row r="82" spans="1:10" ht="11.25" customHeight="1" x14ac:dyDescent="0.2">
      <c r="A82" s="48" t="s">
        <v>22</v>
      </c>
      <c r="B82" s="45">
        <v>0</v>
      </c>
      <c r="C82" s="45">
        <v>0</v>
      </c>
      <c r="D82" s="45">
        <v>6797218.8175799986</v>
      </c>
      <c r="E82" s="45">
        <v>8169343.9033008674</v>
      </c>
      <c r="F82" s="45">
        <v>1616780.5934799998</v>
      </c>
      <c r="G82" s="45">
        <v>1427462.5358739039</v>
      </c>
      <c r="H82" s="46">
        <v>0.20186566337574274</v>
      </c>
      <c r="I82" s="46">
        <v>-0.11709570140163694</v>
      </c>
      <c r="J82" s="46">
        <v>0.14057607688443641</v>
      </c>
    </row>
    <row r="83" spans="1:10" ht="11.25" customHeight="1" x14ac:dyDescent="0.2">
      <c r="A83" s="49" t="s">
        <v>33</v>
      </c>
      <c r="B83" s="45">
        <v>0</v>
      </c>
      <c r="C83" s="45">
        <v>0</v>
      </c>
      <c r="D83" s="45">
        <v>1393.5355199999997</v>
      </c>
      <c r="E83" s="45">
        <v>1679.8188671738264</v>
      </c>
      <c r="F83" s="45">
        <v>360.26883999999995</v>
      </c>
      <c r="G83" s="45">
        <v>318.08260077977116</v>
      </c>
      <c r="H83" s="46">
        <v>0.20543670618013854</v>
      </c>
      <c r="I83" s="46">
        <v>-0.11709655273053554</v>
      </c>
      <c r="J83" s="46">
        <v>0.13918149225812049</v>
      </c>
    </row>
    <row r="84" spans="1:10" ht="11.25" customHeight="1" x14ac:dyDescent="0.2">
      <c r="A84" s="50" t="s">
        <v>24</v>
      </c>
      <c r="B84" s="45">
        <v>0</v>
      </c>
      <c r="C84" s="45">
        <v>0</v>
      </c>
      <c r="D84" s="45">
        <v>1393.5355199999997</v>
      </c>
      <c r="E84" s="45">
        <v>1679.8188671738264</v>
      </c>
      <c r="F84" s="45">
        <v>360.26883999999995</v>
      </c>
      <c r="G84" s="45">
        <v>318.08260077977116</v>
      </c>
      <c r="H84" s="46">
        <v>0.20543670618013854</v>
      </c>
      <c r="I84" s="46">
        <v>-0.11709655273053554</v>
      </c>
      <c r="J84" s="46">
        <v>0.13918149225812049</v>
      </c>
    </row>
    <row r="85" spans="1:10" ht="11.25" customHeight="1" x14ac:dyDescent="0.2">
      <c r="A85" s="51" t="s">
        <v>24</v>
      </c>
      <c r="B85" s="45">
        <v>0</v>
      </c>
      <c r="C85" s="45">
        <v>0</v>
      </c>
      <c r="D85" s="45">
        <v>1393.5355199999997</v>
      </c>
      <c r="E85" s="45">
        <v>1679.8188671738264</v>
      </c>
      <c r="F85" s="45">
        <v>360.26883999999995</v>
      </c>
      <c r="G85" s="45">
        <v>318.08260077977116</v>
      </c>
      <c r="H85" s="46">
        <v>0.20543670618013854</v>
      </c>
      <c r="I85" s="46">
        <v>-0.11709655273053554</v>
      </c>
      <c r="J85" s="46">
        <v>0.13918149225812049</v>
      </c>
    </row>
    <row r="86" spans="1:10" ht="11.25" customHeight="1" x14ac:dyDescent="0.2">
      <c r="A86" s="52" t="s">
        <v>25</v>
      </c>
      <c r="B86" s="45">
        <v>0</v>
      </c>
      <c r="C86" s="45">
        <v>0</v>
      </c>
      <c r="D86" s="45">
        <v>1393.5355199999997</v>
      </c>
      <c r="E86" s="45">
        <v>1679.8188671738264</v>
      </c>
      <c r="F86" s="45">
        <v>360.26883999999995</v>
      </c>
      <c r="G86" s="45">
        <v>318.08260077977116</v>
      </c>
      <c r="H86" s="46">
        <v>0.20543670618013854</v>
      </c>
      <c r="I86" s="46">
        <v>-0.11709655273053554</v>
      </c>
      <c r="J86" s="46">
        <v>0.13918149225812049</v>
      </c>
    </row>
    <row r="87" spans="1:10" ht="11.25" customHeight="1" x14ac:dyDescent="0.2">
      <c r="A87" s="53" t="s">
        <v>25</v>
      </c>
      <c r="B87" s="45">
        <v>0</v>
      </c>
      <c r="C87" s="45">
        <v>0</v>
      </c>
      <c r="D87" s="45">
        <v>1393.5355199999997</v>
      </c>
      <c r="E87" s="45">
        <v>1679.8188671738264</v>
      </c>
      <c r="F87" s="45">
        <v>360.26883999999995</v>
      </c>
      <c r="G87" s="45">
        <v>318.08260077977116</v>
      </c>
      <c r="H87" s="46">
        <v>0.20543670618013854</v>
      </c>
      <c r="I87" s="46">
        <v>-0.11709655273053554</v>
      </c>
      <c r="J87" s="46">
        <v>0.13918149225812049</v>
      </c>
    </row>
    <row r="88" spans="1:10" ht="11.25" customHeight="1" x14ac:dyDescent="0.2">
      <c r="A88" s="54" t="s">
        <v>35</v>
      </c>
      <c r="B88" s="45">
        <v>0</v>
      </c>
      <c r="C88" s="45">
        <v>0</v>
      </c>
      <c r="D88" s="45">
        <v>809.0712299999999</v>
      </c>
      <c r="E88" s="45">
        <v>983.21448282635856</v>
      </c>
      <c r="F88" s="45">
        <v>291.56457</v>
      </c>
      <c r="G88" s="45">
        <v>257.42336395463917</v>
      </c>
      <c r="H88" s="46">
        <v>0.21523846896194621</v>
      </c>
      <c r="I88" s="46">
        <v>-0.11709655273053521</v>
      </c>
      <c r="J88" s="46">
        <v>0.12720106576671197</v>
      </c>
    </row>
    <row r="89" spans="1:10" ht="11.25" customHeight="1" x14ac:dyDescent="0.2">
      <c r="A89" s="55">
        <v>44378</v>
      </c>
      <c r="B89" s="45">
        <v>0</v>
      </c>
      <c r="C89" s="45">
        <v>0</v>
      </c>
      <c r="D89" s="45">
        <v>76.479370000000003</v>
      </c>
      <c r="E89" s="45">
        <v>92.940672505974177</v>
      </c>
      <c r="F89" s="45">
        <v>27.560829999999999</v>
      </c>
      <c r="G89" s="45">
        <v>24.333551816607681</v>
      </c>
      <c r="H89" s="46">
        <v>0.21523846896194576</v>
      </c>
      <c r="I89" s="46">
        <v>-0.11709655273053532</v>
      </c>
      <c r="J89" s="46">
        <v>0.12720106576671197</v>
      </c>
    </row>
    <row r="90" spans="1:10" ht="11.25" customHeight="1" x14ac:dyDescent="0.2">
      <c r="A90" s="55">
        <v>44409</v>
      </c>
      <c r="B90" s="45">
        <v>0</v>
      </c>
      <c r="C90" s="45">
        <v>0</v>
      </c>
      <c r="D90" s="45">
        <v>73.917860000000005</v>
      </c>
      <c r="E90" s="45">
        <v>89.827827015343473</v>
      </c>
      <c r="F90" s="45">
        <v>26.637740000000001</v>
      </c>
      <c r="G90" s="45">
        <v>23.518552473467711</v>
      </c>
      <c r="H90" s="46">
        <v>0.21523846896194598</v>
      </c>
      <c r="I90" s="46">
        <v>-0.11709655273053532</v>
      </c>
      <c r="J90" s="46">
        <v>0.12720106576671197</v>
      </c>
    </row>
    <row r="91" spans="1:10" ht="11.25" customHeight="1" x14ac:dyDescent="0.2">
      <c r="A91" s="55">
        <v>44440</v>
      </c>
      <c r="B91" s="45">
        <v>0</v>
      </c>
      <c r="C91" s="45">
        <v>0</v>
      </c>
      <c r="D91" s="45">
        <v>87.457269999999994</v>
      </c>
      <c r="E91" s="45">
        <v>106.28143889439153</v>
      </c>
      <c r="F91" s="45">
        <v>31.516929999999999</v>
      </c>
      <c r="G91" s="45">
        <v>27.826406144350408</v>
      </c>
      <c r="H91" s="46">
        <v>0.21523846896194598</v>
      </c>
      <c r="I91" s="46">
        <v>-0.11709655273053532</v>
      </c>
      <c r="J91" s="46">
        <v>0.12720106576671197</v>
      </c>
    </row>
    <row r="92" spans="1:10" ht="11.25" customHeight="1" x14ac:dyDescent="0.2">
      <c r="A92" s="55">
        <v>44470</v>
      </c>
      <c r="B92" s="45">
        <v>0</v>
      </c>
      <c r="C92" s="45">
        <v>0</v>
      </c>
      <c r="D92" s="45">
        <v>90.384709999999998</v>
      </c>
      <c r="E92" s="45">
        <v>109.83897659796949</v>
      </c>
      <c r="F92" s="45">
        <v>32.571890000000003</v>
      </c>
      <c r="G92" s="45">
        <v>28.757833965081804</v>
      </c>
      <c r="H92" s="46">
        <v>0.21523846896194598</v>
      </c>
      <c r="I92" s="46">
        <v>-0.11709655273053543</v>
      </c>
      <c r="J92" s="46">
        <v>0.12720106576671175</v>
      </c>
    </row>
    <row r="93" spans="1:10" ht="11.25" customHeight="1" x14ac:dyDescent="0.2">
      <c r="A93" s="55">
        <v>44501</v>
      </c>
      <c r="B93" s="45">
        <v>0</v>
      </c>
      <c r="C93" s="45">
        <v>0</v>
      </c>
      <c r="D93" s="45">
        <v>102.82633000000001</v>
      </c>
      <c r="E93" s="45">
        <v>124.95851183817584</v>
      </c>
      <c r="F93" s="45">
        <v>37.055470000000007</v>
      </c>
      <c r="G93" s="45">
        <v>32.716402203190235</v>
      </c>
      <c r="H93" s="46">
        <v>0.21523846896194598</v>
      </c>
      <c r="I93" s="46">
        <v>-0.11709655273053532</v>
      </c>
      <c r="J93" s="46">
        <v>0.12720106576671175</v>
      </c>
    </row>
    <row r="94" spans="1:10" ht="11.25" customHeight="1" x14ac:dyDescent="0.2">
      <c r="A94" s="55">
        <v>44531</v>
      </c>
      <c r="B94" s="45">
        <v>0</v>
      </c>
      <c r="C94" s="45">
        <v>0</v>
      </c>
      <c r="D94" s="45">
        <v>104.29004999999999</v>
      </c>
      <c r="E94" s="45">
        <v>126.73728068996479</v>
      </c>
      <c r="F94" s="45">
        <v>37.582949999999997</v>
      </c>
      <c r="G94" s="45">
        <v>33.182116113555928</v>
      </c>
      <c r="H94" s="46">
        <v>0.21523846896194598</v>
      </c>
      <c r="I94" s="46">
        <v>-0.11709655273053521</v>
      </c>
      <c r="J94" s="46">
        <v>0.12720106576671197</v>
      </c>
    </row>
    <row r="95" spans="1:10" ht="11.25" customHeight="1" x14ac:dyDescent="0.2">
      <c r="A95" s="55">
        <v>44562</v>
      </c>
      <c r="B95" s="45">
        <v>0</v>
      </c>
      <c r="C95" s="45">
        <v>0</v>
      </c>
      <c r="D95" s="45">
        <v>96.605520000000013</v>
      </c>
      <c r="E95" s="45">
        <v>117.39874421807266</v>
      </c>
      <c r="F95" s="45">
        <v>34.813680000000005</v>
      </c>
      <c r="G95" s="45">
        <v>30.737118084136018</v>
      </c>
      <c r="H95" s="46">
        <v>0.21523846896194598</v>
      </c>
      <c r="I95" s="46">
        <v>-0.11709655273053543</v>
      </c>
      <c r="J95" s="46">
        <v>0.12720106576671197</v>
      </c>
    </row>
    <row r="96" spans="1:10" ht="11.25" customHeight="1" x14ac:dyDescent="0.2">
      <c r="A96" s="55">
        <v>44593</v>
      </c>
      <c r="B96" s="45">
        <v>0</v>
      </c>
      <c r="C96" s="45">
        <v>0</v>
      </c>
      <c r="D96" s="45">
        <v>100.26482000000001</v>
      </c>
      <c r="E96" s="45">
        <v>121.84566634754512</v>
      </c>
      <c r="F96" s="45">
        <v>36.132380000000005</v>
      </c>
      <c r="G96" s="45">
        <v>31.901402860050265</v>
      </c>
      <c r="H96" s="46">
        <v>0.21523846896194598</v>
      </c>
      <c r="I96" s="46">
        <v>-0.11709655273053532</v>
      </c>
      <c r="J96" s="46">
        <v>0.12720106576671197</v>
      </c>
    </row>
    <row r="97" spans="1:10" ht="11.25" customHeight="1" x14ac:dyDescent="0.2">
      <c r="A97" s="55">
        <v>44621</v>
      </c>
      <c r="B97" s="45">
        <v>0</v>
      </c>
      <c r="C97" s="45">
        <v>0</v>
      </c>
      <c r="D97" s="45">
        <v>76.845299999999995</v>
      </c>
      <c r="E97" s="45">
        <v>93.385364718921423</v>
      </c>
      <c r="F97" s="45">
        <v>27.692699999999999</v>
      </c>
      <c r="G97" s="45">
        <v>24.449980294199104</v>
      </c>
      <c r="H97" s="46">
        <v>0.21523846896194598</v>
      </c>
      <c r="I97" s="46">
        <v>-0.11709655273053532</v>
      </c>
      <c r="J97" s="46">
        <v>0.12720106576671197</v>
      </c>
    </row>
    <row r="98" spans="1:10" ht="11.25" customHeight="1" x14ac:dyDescent="0.2">
      <c r="A98" s="54" t="s">
        <v>36</v>
      </c>
      <c r="B98" s="45">
        <v>0</v>
      </c>
      <c r="C98" s="45">
        <v>0</v>
      </c>
      <c r="D98" s="45">
        <v>263.46745000000004</v>
      </c>
      <c r="E98" s="45">
        <v>314.78152946473392</v>
      </c>
      <c r="F98" s="45">
        <v>38.901650000000011</v>
      </c>
      <c r="G98" s="45">
        <v>34.346400889470175</v>
      </c>
      <c r="H98" s="46">
        <v>0.19476439865620554</v>
      </c>
      <c r="I98" s="46">
        <v>-0.11709655273053543</v>
      </c>
      <c r="J98" s="46">
        <v>0.15464156342101099</v>
      </c>
    </row>
    <row r="99" spans="1:10" ht="11.25" customHeight="1" x14ac:dyDescent="0.2">
      <c r="A99" s="55">
        <v>44378</v>
      </c>
      <c r="B99" s="45">
        <v>0</v>
      </c>
      <c r="C99" s="45">
        <v>0</v>
      </c>
      <c r="D99" s="45">
        <v>13.396649999999999</v>
      </c>
      <c r="E99" s="45">
        <v>16.005840481257657</v>
      </c>
      <c r="F99" s="45">
        <v>1.9780500000000001</v>
      </c>
      <c r="G99" s="45">
        <v>1.7464271638713647</v>
      </c>
      <c r="H99" s="46">
        <v>0.19476439865620576</v>
      </c>
      <c r="I99" s="46">
        <v>-0.11709655273053532</v>
      </c>
      <c r="J99" s="46">
        <v>0.15464156342101121</v>
      </c>
    </row>
    <row r="100" spans="1:10" ht="11.25" customHeight="1" x14ac:dyDescent="0.2">
      <c r="A100" s="55">
        <v>44409</v>
      </c>
      <c r="B100" s="45">
        <v>0</v>
      </c>
      <c r="C100" s="45">
        <v>0</v>
      </c>
      <c r="D100" s="45">
        <v>14.289760000000001</v>
      </c>
      <c r="E100" s="45">
        <v>17.072896513341501</v>
      </c>
      <c r="F100" s="45">
        <v>2.1099200000000002</v>
      </c>
      <c r="G100" s="45">
        <v>1.862855641462789</v>
      </c>
      <c r="H100" s="46">
        <v>0.19476439865620554</v>
      </c>
      <c r="I100" s="46">
        <v>-0.11709655273053532</v>
      </c>
      <c r="J100" s="46">
        <v>0.15464156342101143</v>
      </c>
    </row>
    <row r="101" spans="1:10" ht="11.25" customHeight="1" x14ac:dyDescent="0.2">
      <c r="A101" s="55">
        <v>44440</v>
      </c>
      <c r="B101" s="45">
        <v>0</v>
      </c>
      <c r="C101" s="45">
        <v>0</v>
      </c>
      <c r="D101" s="45">
        <v>14.289760000000001</v>
      </c>
      <c r="E101" s="45">
        <v>17.072896513341501</v>
      </c>
      <c r="F101" s="45">
        <v>2.1099200000000002</v>
      </c>
      <c r="G101" s="45">
        <v>1.862855641462789</v>
      </c>
      <c r="H101" s="46">
        <v>0.19476439865620554</v>
      </c>
      <c r="I101" s="46">
        <v>-0.11709655273053532</v>
      </c>
      <c r="J101" s="46">
        <v>0.15464156342101143</v>
      </c>
    </row>
    <row r="102" spans="1:10" ht="11.25" customHeight="1" x14ac:dyDescent="0.2">
      <c r="A102" s="55">
        <v>44470</v>
      </c>
      <c r="B102" s="45">
        <v>0</v>
      </c>
      <c r="C102" s="45">
        <v>0</v>
      </c>
      <c r="D102" s="45">
        <v>16.075979999999998</v>
      </c>
      <c r="E102" s="45">
        <v>19.207008577509185</v>
      </c>
      <c r="F102" s="45">
        <v>2.3736600000000001</v>
      </c>
      <c r="G102" s="45">
        <v>2.0957125966456376</v>
      </c>
      <c r="H102" s="46">
        <v>0.19476439865620554</v>
      </c>
      <c r="I102" s="46">
        <v>-0.11709655273053532</v>
      </c>
      <c r="J102" s="46">
        <v>0.15464156342101121</v>
      </c>
    </row>
    <row r="103" spans="1:10" ht="11.25" customHeight="1" x14ac:dyDescent="0.2">
      <c r="A103" s="55">
        <v>44501</v>
      </c>
      <c r="B103" s="45">
        <v>0</v>
      </c>
      <c r="C103" s="45">
        <v>0</v>
      </c>
      <c r="D103" s="45">
        <v>89.311000000000007</v>
      </c>
      <c r="E103" s="45">
        <v>106.70560320838439</v>
      </c>
      <c r="F103" s="45">
        <v>13.187000000000001</v>
      </c>
      <c r="G103" s="45">
        <v>11.64284775914243</v>
      </c>
      <c r="H103" s="46">
        <v>0.19476439865620554</v>
      </c>
      <c r="I103" s="46">
        <v>-0.11709655273053543</v>
      </c>
      <c r="J103" s="46">
        <v>0.15464156342101121</v>
      </c>
    </row>
    <row r="104" spans="1:10" ht="11.25" customHeight="1" x14ac:dyDescent="0.2">
      <c r="A104" s="55">
        <v>44531</v>
      </c>
      <c r="B104" s="45">
        <v>0</v>
      </c>
      <c r="C104" s="45">
        <v>0</v>
      </c>
      <c r="D104" s="45">
        <v>66.983249999999998</v>
      </c>
      <c r="E104" s="45">
        <v>80.029202406288277</v>
      </c>
      <c r="F104" s="45">
        <v>9.8902500000000018</v>
      </c>
      <c r="G104" s="45">
        <v>8.7321358193568237</v>
      </c>
      <c r="H104" s="46">
        <v>0.19476439865620554</v>
      </c>
      <c r="I104" s="46">
        <v>-0.11709655273053543</v>
      </c>
      <c r="J104" s="46">
        <v>0.15464156342101099</v>
      </c>
    </row>
    <row r="105" spans="1:10" ht="11.25" customHeight="1" x14ac:dyDescent="0.2">
      <c r="A105" s="55">
        <v>44562</v>
      </c>
      <c r="B105" s="45">
        <v>0</v>
      </c>
      <c r="C105" s="45">
        <v>0</v>
      </c>
      <c r="D105" s="45">
        <v>17.862200000000001</v>
      </c>
      <c r="E105" s="45">
        <v>21.341120641676877</v>
      </c>
      <c r="F105" s="45">
        <v>2.6374</v>
      </c>
      <c r="G105" s="45">
        <v>2.3285695518284864</v>
      </c>
      <c r="H105" s="46">
        <v>0.19476439865620554</v>
      </c>
      <c r="I105" s="46">
        <v>-0.11709655273053521</v>
      </c>
      <c r="J105" s="46">
        <v>0.15464156342101121</v>
      </c>
    </row>
    <row r="106" spans="1:10" ht="11.25" customHeight="1" x14ac:dyDescent="0.2">
      <c r="A106" s="55">
        <v>44593</v>
      </c>
      <c r="B106" s="45">
        <v>0</v>
      </c>
      <c r="C106" s="45">
        <v>0</v>
      </c>
      <c r="D106" s="45">
        <v>17.862200000000001</v>
      </c>
      <c r="E106" s="45">
        <v>21.341120641676877</v>
      </c>
      <c r="F106" s="45">
        <v>2.6374</v>
      </c>
      <c r="G106" s="45">
        <v>2.3285695518284864</v>
      </c>
      <c r="H106" s="46">
        <v>0.19476439865620554</v>
      </c>
      <c r="I106" s="46">
        <v>-0.11709655273053521</v>
      </c>
      <c r="J106" s="46">
        <v>0.15464156342101121</v>
      </c>
    </row>
    <row r="107" spans="1:10" ht="11.25" customHeight="1" x14ac:dyDescent="0.2">
      <c r="A107" s="55">
        <v>44621</v>
      </c>
      <c r="B107" s="45">
        <v>0</v>
      </c>
      <c r="C107" s="45">
        <v>0</v>
      </c>
      <c r="D107" s="45">
        <v>13.396649999999999</v>
      </c>
      <c r="E107" s="45">
        <v>16.005840481257657</v>
      </c>
      <c r="F107" s="45">
        <v>1.9780500000000001</v>
      </c>
      <c r="G107" s="45">
        <v>1.7464271638713647</v>
      </c>
      <c r="H107" s="46">
        <v>0.19476439865620576</v>
      </c>
      <c r="I107" s="46">
        <v>-0.11709655273053532</v>
      </c>
      <c r="J107" s="46">
        <v>0.15464156342101121</v>
      </c>
    </row>
    <row r="108" spans="1:10" ht="11.25" customHeight="1" x14ac:dyDescent="0.2">
      <c r="A108" s="54" t="s">
        <v>34</v>
      </c>
      <c r="B108" s="45">
        <v>0</v>
      </c>
      <c r="C108" s="45">
        <v>0</v>
      </c>
      <c r="D108" s="45">
        <v>320.99684000000002</v>
      </c>
      <c r="E108" s="45">
        <v>381.82285488273345</v>
      </c>
      <c r="F108" s="45">
        <v>29.802620000000001</v>
      </c>
      <c r="G108" s="45">
        <v>26.312835935661898</v>
      </c>
      <c r="H108" s="46">
        <v>0.18949100833121424</v>
      </c>
      <c r="I108" s="46">
        <v>-0.11709655273053521</v>
      </c>
      <c r="J108" s="46">
        <v>0.16344446715623606</v>
      </c>
    </row>
    <row r="109" spans="1:10" ht="11.25" customHeight="1" x14ac:dyDescent="0.2">
      <c r="A109" s="55">
        <v>44378</v>
      </c>
      <c r="B109" s="45">
        <v>0</v>
      </c>
      <c r="C109" s="45">
        <v>0</v>
      </c>
      <c r="D109" s="45">
        <v>31.247479999999996</v>
      </c>
      <c r="E109" s="45">
        <v>37.168596493009446</v>
      </c>
      <c r="F109" s="45">
        <v>2.9011399999999998</v>
      </c>
      <c r="G109" s="45">
        <v>2.5614265070113347</v>
      </c>
      <c r="H109" s="46">
        <v>0.18949100833121424</v>
      </c>
      <c r="I109" s="46">
        <v>-0.11709655273053532</v>
      </c>
      <c r="J109" s="46">
        <v>0.16344446715623606</v>
      </c>
    </row>
    <row r="110" spans="1:10" ht="11.25" customHeight="1" x14ac:dyDescent="0.2">
      <c r="A110" s="55">
        <v>44409</v>
      </c>
      <c r="B110" s="45">
        <v>0</v>
      </c>
      <c r="C110" s="45">
        <v>0</v>
      </c>
      <c r="D110" s="45">
        <v>32.667819999999999</v>
      </c>
      <c r="E110" s="45">
        <v>38.8580781517826</v>
      </c>
      <c r="F110" s="45">
        <v>3.03301</v>
      </c>
      <c r="G110" s="45">
        <v>2.6778549846027593</v>
      </c>
      <c r="H110" s="46">
        <v>0.18949100833121402</v>
      </c>
      <c r="I110" s="46">
        <v>-0.11709655273053521</v>
      </c>
      <c r="J110" s="46">
        <v>0.16344446715623606</v>
      </c>
    </row>
    <row r="111" spans="1:10" ht="11.25" customHeight="1" x14ac:dyDescent="0.2">
      <c r="A111" s="55">
        <v>44440</v>
      </c>
      <c r="B111" s="45">
        <v>0</v>
      </c>
      <c r="C111" s="45">
        <v>0</v>
      </c>
      <c r="D111" s="45">
        <v>36.928839999999994</v>
      </c>
      <c r="E111" s="45">
        <v>43.926523128102069</v>
      </c>
      <c r="F111" s="45">
        <v>3.42862</v>
      </c>
      <c r="G111" s="45">
        <v>3.0271404173770318</v>
      </c>
      <c r="H111" s="46">
        <v>0.18949100833121424</v>
      </c>
      <c r="I111" s="46">
        <v>-0.11709655273053543</v>
      </c>
      <c r="J111" s="46">
        <v>0.16344446715623606</v>
      </c>
    </row>
    <row r="112" spans="1:10" ht="11.25" customHeight="1" x14ac:dyDescent="0.2">
      <c r="A112" s="55">
        <v>44470</v>
      </c>
      <c r="B112" s="45">
        <v>0</v>
      </c>
      <c r="C112" s="45">
        <v>0</v>
      </c>
      <c r="D112" s="45">
        <v>34.088160000000002</v>
      </c>
      <c r="E112" s="45">
        <v>40.547559810555761</v>
      </c>
      <c r="F112" s="45">
        <v>3.1648800000000001</v>
      </c>
      <c r="G112" s="45">
        <v>2.7942834621941834</v>
      </c>
      <c r="H112" s="46">
        <v>0.18949100833121402</v>
      </c>
      <c r="I112" s="46">
        <v>-0.11709655273053532</v>
      </c>
      <c r="J112" s="46">
        <v>0.16344446715623584</v>
      </c>
    </row>
    <row r="113" spans="1:10" ht="11.25" customHeight="1" x14ac:dyDescent="0.2">
      <c r="A113" s="55">
        <v>44501</v>
      </c>
      <c r="B113" s="45">
        <v>0</v>
      </c>
      <c r="C113" s="45">
        <v>0</v>
      </c>
      <c r="D113" s="45">
        <v>31.247479999999996</v>
      </c>
      <c r="E113" s="45">
        <v>37.168596493009446</v>
      </c>
      <c r="F113" s="45">
        <v>2.9011399999999998</v>
      </c>
      <c r="G113" s="45">
        <v>2.5614265070113347</v>
      </c>
      <c r="H113" s="46">
        <v>0.18949100833121424</v>
      </c>
      <c r="I113" s="46">
        <v>-0.11709655273053532</v>
      </c>
      <c r="J113" s="46">
        <v>0.16344446715623606</v>
      </c>
    </row>
    <row r="114" spans="1:10" ht="11.25" customHeight="1" x14ac:dyDescent="0.2">
      <c r="A114" s="55">
        <v>44531</v>
      </c>
      <c r="B114" s="45">
        <v>0</v>
      </c>
      <c r="C114" s="45">
        <v>0</v>
      </c>
      <c r="D114" s="45">
        <v>38.349179999999997</v>
      </c>
      <c r="E114" s="45">
        <v>45.61600478687523</v>
      </c>
      <c r="F114" s="45">
        <v>3.5604900000000002</v>
      </c>
      <c r="G114" s="45">
        <v>3.1435688949684564</v>
      </c>
      <c r="H114" s="46">
        <v>0.18949100833121424</v>
      </c>
      <c r="I114" s="46">
        <v>-0.11709655273053532</v>
      </c>
      <c r="J114" s="46">
        <v>0.16344446715623584</v>
      </c>
    </row>
    <row r="115" spans="1:10" ht="11.25" customHeight="1" x14ac:dyDescent="0.2">
      <c r="A115" s="55">
        <v>44562</v>
      </c>
      <c r="B115" s="45">
        <v>0</v>
      </c>
      <c r="C115" s="45">
        <v>0</v>
      </c>
      <c r="D115" s="45">
        <v>41.189860000000003</v>
      </c>
      <c r="E115" s="45">
        <v>48.994968104421545</v>
      </c>
      <c r="F115" s="45">
        <v>3.8242300000000005</v>
      </c>
      <c r="G115" s="45">
        <v>3.3764258501513051</v>
      </c>
      <c r="H115" s="46">
        <v>0.18949100833121402</v>
      </c>
      <c r="I115" s="46">
        <v>-0.11709655273053532</v>
      </c>
      <c r="J115" s="46">
        <v>0.16344446715623584</v>
      </c>
    </row>
    <row r="116" spans="1:10" ht="11.25" customHeight="1" x14ac:dyDescent="0.2">
      <c r="A116" s="55">
        <v>44593</v>
      </c>
      <c r="B116" s="45">
        <v>0</v>
      </c>
      <c r="C116" s="45">
        <v>0</v>
      </c>
      <c r="D116" s="45">
        <v>41.189860000000003</v>
      </c>
      <c r="E116" s="45">
        <v>48.994968104421545</v>
      </c>
      <c r="F116" s="45">
        <v>3.8242300000000005</v>
      </c>
      <c r="G116" s="45">
        <v>3.3764258501513051</v>
      </c>
      <c r="H116" s="46">
        <v>0.18949100833121402</v>
      </c>
      <c r="I116" s="46">
        <v>-0.11709655273053532</v>
      </c>
      <c r="J116" s="46">
        <v>0.16344446715623584</v>
      </c>
    </row>
    <row r="117" spans="1:10" ht="11.25" customHeight="1" x14ac:dyDescent="0.2">
      <c r="A117" s="55">
        <v>44621</v>
      </c>
      <c r="B117" s="45">
        <v>0</v>
      </c>
      <c r="C117" s="45">
        <v>0</v>
      </c>
      <c r="D117" s="45">
        <v>34.088160000000002</v>
      </c>
      <c r="E117" s="45">
        <v>40.547559810555761</v>
      </c>
      <c r="F117" s="45">
        <v>3.1648800000000001</v>
      </c>
      <c r="G117" s="45">
        <v>2.7942834621941834</v>
      </c>
      <c r="H117" s="46">
        <v>0.18949100833121402</v>
      </c>
      <c r="I117" s="46">
        <v>-0.11709655273053532</v>
      </c>
      <c r="J117" s="46">
        <v>0.16344446715623584</v>
      </c>
    </row>
    <row r="118" spans="1:10" ht="11.25" customHeight="1" x14ac:dyDescent="0.2">
      <c r="A118" s="49" t="s">
        <v>23</v>
      </c>
      <c r="B118" s="45">
        <v>0</v>
      </c>
      <c r="C118" s="45">
        <v>0</v>
      </c>
      <c r="D118" s="45">
        <v>6795825.2820599983</v>
      </c>
      <c r="E118" s="45">
        <v>8167664.0844336944</v>
      </c>
      <c r="F118" s="45">
        <v>1616420.3246399998</v>
      </c>
      <c r="G118" s="45">
        <v>1427144.4532731241</v>
      </c>
      <c r="H118" s="46">
        <v>0.20186493110632941</v>
      </c>
      <c r="I118" s="46">
        <v>-0.11709570121189228</v>
      </c>
      <c r="J118" s="46">
        <v>0.14057636763065462</v>
      </c>
    </row>
    <row r="119" spans="1:10" ht="11.25" customHeight="1" x14ac:dyDescent="0.2">
      <c r="A119" s="50" t="s">
        <v>24</v>
      </c>
      <c r="B119" s="45">
        <v>0</v>
      </c>
      <c r="C119" s="45">
        <v>0</v>
      </c>
      <c r="D119" s="45">
        <v>6795825.2820599983</v>
      </c>
      <c r="E119" s="45">
        <v>8167664.0844336944</v>
      </c>
      <c r="F119" s="45">
        <v>1616420.3246399998</v>
      </c>
      <c r="G119" s="45">
        <v>1427144.4532731241</v>
      </c>
      <c r="H119" s="46">
        <v>0.20186493110632941</v>
      </c>
      <c r="I119" s="46">
        <v>-0.11709570121189228</v>
      </c>
      <c r="J119" s="46">
        <v>0.14057636763065462</v>
      </c>
    </row>
    <row r="120" spans="1:10" ht="11.25" customHeight="1" x14ac:dyDescent="0.2">
      <c r="A120" s="51" t="s">
        <v>24</v>
      </c>
      <c r="B120" s="45">
        <v>0</v>
      </c>
      <c r="C120" s="45">
        <v>0</v>
      </c>
      <c r="D120" s="45">
        <v>6585320.1405599993</v>
      </c>
      <c r="E120" s="45">
        <v>7924573.6218583062</v>
      </c>
      <c r="F120" s="45">
        <v>1559525.4775799999</v>
      </c>
      <c r="G120" s="45">
        <v>1376910.4202599404</v>
      </c>
      <c r="H120" s="46">
        <v>0.20336953294793325</v>
      </c>
      <c r="I120" s="46">
        <v>-0.11709655273053499</v>
      </c>
      <c r="J120" s="46">
        <v>0.14200863689818877</v>
      </c>
    </row>
    <row r="121" spans="1:10" ht="11.25" customHeight="1" x14ac:dyDescent="0.2">
      <c r="A121" s="52" t="s">
        <v>25</v>
      </c>
      <c r="B121" s="45">
        <v>0</v>
      </c>
      <c r="C121" s="45">
        <v>0</v>
      </c>
      <c r="D121" s="45">
        <v>6585320.1405599993</v>
      </c>
      <c r="E121" s="45">
        <v>7924573.6218583062</v>
      </c>
      <c r="F121" s="45">
        <v>1559525.4775799999</v>
      </c>
      <c r="G121" s="45">
        <v>1376910.4202599404</v>
      </c>
      <c r="H121" s="46">
        <v>0.20336953294793325</v>
      </c>
      <c r="I121" s="46">
        <v>-0.11709655273053499</v>
      </c>
      <c r="J121" s="46">
        <v>0.14200863689818877</v>
      </c>
    </row>
    <row r="122" spans="1:10" ht="11.25" customHeight="1" x14ac:dyDescent="0.2">
      <c r="A122" s="53" t="s">
        <v>25</v>
      </c>
      <c r="B122" s="45">
        <v>0</v>
      </c>
      <c r="C122" s="45">
        <v>0</v>
      </c>
      <c r="D122" s="45">
        <v>6585320.1405599993</v>
      </c>
      <c r="E122" s="45">
        <v>7924573.6218583062</v>
      </c>
      <c r="F122" s="45">
        <v>1559525.4775799999</v>
      </c>
      <c r="G122" s="45">
        <v>1376910.4202599404</v>
      </c>
      <c r="H122" s="46">
        <v>0.20336953294793325</v>
      </c>
      <c r="I122" s="46">
        <v>-0.11709655273053499</v>
      </c>
      <c r="J122" s="46">
        <v>0.14200863689818877</v>
      </c>
    </row>
    <row r="123" spans="1:10" ht="11.25" customHeight="1" x14ac:dyDescent="0.2">
      <c r="A123" s="54" t="s">
        <v>25</v>
      </c>
      <c r="B123" s="45">
        <v>0</v>
      </c>
      <c r="C123" s="45">
        <v>0</v>
      </c>
      <c r="D123" s="45">
        <v>6585320.1405599993</v>
      </c>
      <c r="E123" s="45">
        <v>7924573.6218583062</v>
      </c>
      <c r="F123" s="45">
        <v>1559525.4775799999</v>
      </c>
      <c r="G123" s="45">
        <v>1376910.4202599404</v>
      </c>
      <c r="H123" s="46">
        <v>0.20336953294793325</v>
      </c>
      <c r="I123" s="46">
        <v>-0.11709655273053499</v>
      </c>
      <c r="J123" s="46">
        <v>0.14200863689818877</v>
      </c>
    </row>
    <row r="124" spans="1:10" ht="11.25" customHeight="1" x14ac:dyDescent="0.2">
      <c r="A124" s="55">
        <v>44378</v>
      </c>
      <c r="B124" s="45">
        <v>0</v>
      </c>
      <c r="C124" s="45">
        <v>0</v>
      </c>
      <c r="D124" s="45">
        <v>551323.38611999992</v>
      </c>
      <c r="E124" s="45">
        <v>663445.76565849746</v>
      </c>
      <c r="F124" s="45">
        <v>130563.56391</v>
      </c>
      <c r="G124" s="45">
        <v>115275.02066392607</v>
      </c>
      <c r="H124" s="46">
        <v>0.20336953294793347</v>
      </c>
      <c r="I124" s="46">
        <v>-0.11709655273053521</v>
      </c>
      <c r="J124" s="46">
        <v>0.14200863689818854</v>
      </c>
    </row>
    <row r="125" spans="1:10" ht="11.25" customHeight="1" x14ac:dyDescent="0.2">
      <c r="A125" s="55">
        <v>44409</v>
      </c>
      <c r="B125" s="45">
        <v>0</v>
      </c>
      <c r="C125" s="45">
        <v>0</v>
      </c>
      <c r="D125" s="45">
        <v>590057.17651999998</v>
      </c>
      <c r="E125" s="45">
        <v>710056.82892144867</v>
      </c>
      <c r="F125" s="45">
        <v>139736.44111000001</v>
      </c>
      <c r="G125" s="45">
        <v>123373.78556518555</v>
      </c>
      <c r="H125" s="46">
        <v>0.20336953294793347</v>
      </c>
      <c r="I125" s="46">
        <v>-0.11709655273053532</v>
      </c>
      <c r="J125" s="46">
        <v>0.14200863689818877</v>
      </c>
    </row>
    <row r="126" spans="1:10" ht="11.25" customHeight="1" x14ac:dyDescent="0.2">
      <c r="A126" s="55">
        <v>44440</v>
      </c>
      <c r="B126" s="45">
        <v>0</v>
      </c>
      <c r="C126" s="45">
        <v>0</v>
      </c>
      <c r="D126" s="45">
        <v>568782.54747999995</v>
      </c>
      <c r="E126" s="45">
        <v>684455.58850994334</v>
      </c>
      <c r="F126" s="45">
        <v>134698.21589000002</v>
      </c>
      <c r="G126" s="45">
        <v>118925.5191503276</v>
      </c>
      <c r="H126" s="46">
        <v>0.20336953294793347</v>
      </c>
      <c r="I126" s="46">
        <v>-0.11709655273053532</v>
      </c>
      <c r="J126" s="46">
        <v>0.14200863689818877</v>
      </c>
    </row>
    <row r="127" spans="1:10" ht="11.25" customHeight="1" x14ac:dyDescent="0.2">
      <c r="A127" s="55">
        <v>44470</v>
      </c>
      <c r="B127" s="45">
        <v>0</v>
      </c>
      <c r="C127" s="45">
        <v>0</v>
      </c>
      <c r="D127" s="45">
        <v>583542.14852000005</v>
      </c>
      <c r="E127" s="45">
        <v>702216.84271994594</v>
      </c>
      <c r="F127" s="45">
        <v>138193.56211</v>
      </c>
      <c r="G127" s="45">
        <v>122011.57237736588</v>
      </c>
      <c r="H127" s="46">
        <v>0.20336953294793325</v>
      </c>
      <c r="I127" s="46">
        <v>-0.11709655273053532</v>
      </c>
      <c r="J127" s="46">
        <v>0.14200863689818854</v>
      </c>
    </row>
    <row r="128" spans="1:10" ht="11.25" customHeight="1" x14ac:dyDescent="0.2">
      <c r="A128" s="55">
        <v>44501</v>
      </c>
      <c r="B128" s="45">
        <v>0</v>
      </c>
      <c r="C128" s="45">
        <v>0</v>
      </c>
      <c r="D128" s="45">
        <v>557275.44888000004</v>
      </c>
      <c r="E128" s="45">
        <v>670608.29664207553</v>
      </c>
      <c r="F128" s="45">
        <v>131973.12234000003</v>
      </c>
      <c r="G128" s="45">
        <v>116519.5246609008</v>
      </c>
      <c r="H128" s="46">
        <v>0.20336953294793325</v>
      </c>
      <c r="I128" s="46">
        <v>-0.11709655273053554</v>
      </c>
      <c r="J128" s="46">
        <v>0.14200863689818854</v>
      </c>
    </row>
    <row r="129" spans="1:10" ht="11.25" customHeight="1" x14ac:dyDescent="0.2">
      <c r="A129" s="55">
        <v>44531</v>
      </c>
      <c r="B129" s="45">
        <v>0</v>
      </c>
      <c r="C129" s="45">
        <v>0</v>
      </c>
      <c r="D129" s="45">
        <v>537779.92363999994</v>
      </c>
      <c r="E129" s="45">
        <v>647147.97553944204</v>
      </c>
      <c r="F129" s="45">
        <v>127356.22177</v>
      </c>
      <c r="G129" s="45">
        <v>112443.24723194745</v>
      </c>
      <c r="H129" s="46">
        <v>0.20336953294793347</v>
      </c>
      <c r="I129" s="46">
        <v>-0.11709655273053532</v>
      </c>
      <c r="J129" s="46">
        <v>0.14200863689818899</v>
      </c>
    </row>
    <row r="130" spans="1:10" ht="11.25" customHeight="1" x14ac:dyDescent="0.2">
      <c r="A130" s="55">
        <v>44562</v>
      </c>
      <c r="B130" s="45">
        <v>0</v>
      </c>
      <c r="C130" s="45">
        <v>0</v>
      </c>
      <c r="D130" s="45">
        <v>610447.54364000005</v>
      </c>
      <c r="E130" s="45">
        <v>734593.97547927999</v>
      </c>
      <c r="F130" s="45">
        <v>144565.25677000001</v>
      </c>
      <c r="G130" s="45">
        <v>127637.16355762833</v>
      </c>
      <c r="H130" s="46">
        <v>0.20336953294793325</v>
      </c>
      <c r="I130" s="46">
        <v>-0.11709655273053532</v>
      </c>
      <c r="J130" s="46">
        <v>0.14200863689818854</v>
      </c>
    </row>
    <row r="131" spans="1:10" ht="11.25" customHeight="1" x14ac:dyDescent="0.2">
      <c r="A131" s="55">
        <v>44593</v>
      </c>
      <c r="B131" s="45">
        <v>0</v>
      </c>
      <c r="C131" s="45">
        <v>0</v>
      </c>
      <c r="D131" s="45">
        <v>551987.13939999999</v>
      </c>
      <c r="E131" s="45">
        <v>664244.50613304367</v>
      </c>
      <c r="F131" s="45">
        <v>130720.75295000001</v>
      </c>
      <c r="G131" s="45">
        <v>115413.80340921505</v>
      </c>
      <c r="H131" s="46">
        <v>0.20336953294793325</v>
      </c>
      <c r="I131" s="46">
        <v>-0.11709655273053532</v>
      </c>
      <c r="J131" s="46">
        <v>0.14200863689818854</v>
      </c>
    </row>
    <row r="132" spans="1:10" ht="11.25" customHeight="1" x14ac:dyDescent="0.2">
      <c r="A132" s="55">
        <v>44621</v>
      </c>
      <c r="B132" s="45">
        <v>0</v>
      </c>
      <c r="C132" s="45">
        <v>0</v>
      </c>
      <c r="D132" s="45">
        <v>512185.32988000003</v>
      </c>
      <c r="E132" s="45">
        <v>616348.22120047873</v>
      </c>
      <c r="F132" s="45">
        <v>121294.94908999999</v>
      </c>
      <c r="G132" s="45">
        <v>107091.72868793522</v>
      </c>
      <c r="H132" s="46">
        <v>0.20336953294793325</v>
      </c>
      <c r="I132" s="46">
        <v>-0.11709655273053532</v>
      </c>
      <c r="J132" s="46">
        <v>0.14200863689818877</v>
      </c>
    </row>
    <row r="133" spans="1:10" ht="11.25" customHeight="1" x14ac:dyDescent="0.2">
      <c r="A133" s="55">
        <v>44652</v>
      </c>
      <c r="B133" s="45">
        <v>0</v>
      </c>
      <c r="C133" s="45">
        <v>0</v>
      </c>
      <c r="D133" s="45">
        <v>525651.94844000018</v>
      </c>
      <c r="E133" s="45">
        <v>632553.53968741396</v>
      </c>
      <c r="F133" s="45">
        <v>124484.09317000001</v>
      </c>
      <c r="G133" s="45">
        <v>109907.43499000624</v>
      </c>
      <c r="H133" s="46">
        <v>0.20336953294793303</v>
      </c>
      <c r="I133" s="46">
        <v>-0.11709655273053521</v>
      </c>
      <c r="J133" s="46">
        <v>0.14200863689818832</v>
      </c>
    </row>
    <row r="134" spans="1:10" ht="11.25" customHeight="1" x14ac:dyDescent="0.2">
      <c r="A134" s="55">
        <v>44682</v>
      </c>
      <c r="B134" s="45">
        <v>0</v>
      </c>
      <c r="C134" s="45">
        <v>0</v>
      </c>
      <c r="D134" s="45">
        <v>482186.13172</v>
      </c>
      <c r="E134" s="45">
        <v>580248.10012186703</v>
      </c>
      <c r="F134" s="45">
        <v>114190.58471</v>
      </c>
      <c r="G134" s="45">
        <v>100819.26088617482</v>
      </c>
      <c r="H134" s="46">
        <v>0.20336953294793325</v>
      </c>
      <c r="I134" s="46">
        <v>-0.11709655273053532</v>
      </c>
      <c r="J134" s="46">
        <v>0.14200863689818854</v>
      </c>
    </row>
    <row r="135" spans="1:10" ht="11.25" customHeight="1" x14ac:dyDescent="0.2">
      <c r="A135" s="55">
        <v>44713</v>
      </c>
      <c r="B135" s="45">
        <v>0</v>
      </c>
      <c r="C135" s="45">
        <v>0</v>
      </c>
      <c r="D135" s="45">
        <v>514101.41632000008</v>
      </c>
      <c r="E135" s="45">
        <v>618653.98124486941</v>
      </c>
      <c r="F135" s="45">
        <v>121748.71376</v>
      </c>
      <c r="G135" s="45">
        <v>107492.35907932732</v>
      </c>
      <c r="H135" s="46">
        <v>0.20336953294793303</v>
      </c>
      <c r="I135" s="46">
        <v>-0.11709655273053521</v>
      </c>
      <c r="J135" s="46">
        <v>0.14200863689818854</v>
      </c>
    </row>
    <row r="136" spans="1:10" ht="11.25" customHeight="1" x14ac:dyDescent="0.2">
      <c r="A136" s="51" t="s">
        <v>29</v>
      </c>
      <c r="B136" s="45">
        <v>0</v>
      </c>
      <c r="C136" s="45">
        <v>0</v>
      </c>
      <c r="D136" s="45">
        <v>19046.570400000001</v>
      </c>
      <c r="E136" s="45">
        <v>21995.192973412562</v>
      </c>
      <c r="F136" s="45">
        <v>5147.5709999999999</v>
      </c>
      <c r="G136" s="45">
        <v>4545.2513366916137</v>
      </c>
      <c r="H136" s="46">
        <v>0.15481120808040916</v>
      </c>
      <c r="I136" s="46">
        <v>-0.11701046247023816</v>
      </c>
      <c r="J136" s="46">
        <v>9.6978143233641401E-2</v>
      </c>
    </row>
    <row r="137" spans="1:10" ht="11.25" customHeight="1" x14ac:dyDescent="0.2">
      <c r="A137" s="52" t="s">
        <v>25</v>
      </c>
      <c r="B137" s="45">
        <v>0</v>
      </c>
      <c r="C137" s="45">
        <v>0</v>
      </c>
      <c r="D137" s="45">
        <v>19046.570400000001</v>
      </c>
      <c r="E137" s="45">
        <v>21995.192973412562</v>
      </c>
      <c r="F137" s="45">
        <v>5147.5709999999999</v>
      </c>
      <c r="G137" s="45">
        <v>4545.2513366916137</v>
      </c>
      <c r="H137" s="46">
        <v>0.15481120808040916</v>
      </c>
      <c r="I137" s="46">
        <v>-0.11701046247023816</v>
      </c>
      <c r="J137" s="46">
        <v>9.6978143233641401E-2</v>
      </c>
    </row>
    <row r="138" spans="1:10" ht="11.25" customHeight="1" x14ac:dyDescent="0.2">
      <c r="A138" s="53" t="s">
        <v>25</v>
      </c>
      <c r="B138" s="45">
        <v>0</v>
      </c>
      <c r="C138" s="45">
        <v>0</v>
      </c>
      <c r="D138" s="45">
        <v>19046.570400000001</v>
      </c>
      <c r="E138" s="45">
        <v>21995.192973412562</v>
      </c>
      <c r="F138" s="45">
        <v>5147.5709999999999</v>
      </c>
      <c r="G138" s="45">
        <v>4545.2513366916137</v>
      </c>
      <c r="H138" s="46">
        <v>0.15481120808040916</v>
      </c>
      <c r="I138" s="46">
        <v>-0.11701046247023816</v>
      </c>
      <c r="J138" s="46">
        <v>9.6978143233641401E-2</v>
      </c>
    </row>
    <row r="139" spans="1:10" ht="11.25" customHeight="1" x14ac:dyDescent="0.2">
      <c r="A139" s="54" t="s">
        <v>25</v>
      </c>
      <c r="B139" s="45">
        <v>0</v>
      </c>
      <c r="C139" s="45">
        <v>0</v>
      </c>
      <c r="D139" s="45">
        <v>19046.570400000001</v>
      </c>
      <c r="E139" s="45">
        <v>21995.192973412562</v>
      </c>
      <c r="F139" s="45">
        <v>5147.5709999999999</v>
      </c>
      <c r="G139" s="45">
        <v>4545.2513366916137</v>
      </c>
      <c r="H139" s="46">
        <v>0.15481120808040916</v>
      </c>
      <c r="I139" s="46">
        <v>-0.11701046247023816</v>
      </c>
      <c r="J139" s="46">
        <v>9.6978143233641401E-2</v>
      </c>
    </row>
    <row r="140" spans="1:10" ht="11.25" customHeight="1" x14ac:dyDescent="0.2">
      <c r="A140" s="55">
        <v>44378</v>
      </c>
      <c r="B140" s="45">
        <v>0</v>
      </c>
      <c r="C140" s="45">
        <v>0</v>
      </c>
      <c r="D140" s="45">
        <v>640.34999999999991</v>
      </c>
      <c r="E140" s="45">
        <v>739.48335709429</v>
      </c>
      <c r="F140" s="45">
        <v>173.0625</v>
      </c>
      <c r="G140" s="45">
        <v>152.8123768387444</v>
      </c>
      <c r="H140" s="46">
        <v>0.15481120808040938</v>
      </c>
      <c r="I140" s="46">
        <v>-0.11701046247023816</v>
      </c>
      <c r="J140" s="46">
        <v>9.6978143233641623E-2</v>
      </c>
    </row>
    <row r="141" spans="1:10" ht="11.25" customHeight="1" x14ac:dyDescent="0.2">
      <c r="A141" s="55">
        <v>44409</v>
      </c>
      <c r="B141" s="45">
        <v>0</v>
      </c>
      <c r="C141" s="45">
        <v>0</v>
      </c>
      <c r="D141" s="45">
        <v>665.96399999999994</v>
      </c>
      <c r="E141" s="45">
        <v>769.06269137806157</v>
      </c>
      <c r="F141" s="45">
        <v>179.98499999999999</v>
      </c>
      <c r="G141" s="45">
        <v>158.92487191229418</v>
      </c>
      <c r="H141" s="46">
        <v>0.15481120808040916</v>
      </c>
      <c r="I141" s="46">
        <v>-0.11701046247023816</v>
      </c>
      <c r="J141" s="46">
        <v>9.6978143233641401E-2</v>
      </c>
    </row>
    <row r="142" spans="1:10" ht="11.25" customHeight="1" x14ac:dyDescent="0.2">
      <c r="A142" s="55">
        <v>44440</v>
      </c>
      <c r="B142" s="45">
        <v>0</v>
      </c>
      <c r="C142" s="45">
        <v>0</v>
      </c>
      <c r="D142" s="45">
        <v>645.47279999999989</v>
      </c>
      <c r="E142" s="45">
        <v>745.39922395104429</v>
      </c>
      <c r="F142" s="45">
        <v>174.44699999999997</v>
      </c>
      <c r="G142" s="45">
        <v>154.03487585345437</v>
      </c>
      <c r="H142" s="46">
        <v>0.15481120808040938</v>
      </c>
      <c r="I142" s="46">
        <v>-0.11701046247023805</v>
      </c>
      <c r="J142" s="46">
        <v>9.6978143233641623E-2</v>
      </c>
    </row>
    <row r="143" spans="1:10" ht="11.25" customHeight="1" x14ac:dyDescent="0.2">
      <c r="A143" s="55">
        <v>44470</v>
      </c>
      <c r="B143" s="45">
        <v>0</v>
      </c>
      <c r="C143" s="45">
        <v>0</v>
      </c>
      <c r="D143" s="45">
        <v>686.45519999999988</v>
      </c>
      <c r="E143" s="45">
        <v>792.72615880507874</v>
      </c>
      <c r="F143" s="45">
        <v>185.52299999999997</v>
      </c>
      <c r="G143" s="45">
        <v>163.81486797113399</v>
      </c>
      <c r="H143" s="46">
        <v>0.15481120808040916</v>
      </c>
      <c r="I143" s="46">
        <v>-0.11701046247023805</v>
      </c>
      <c r="J143" s="46">
        <v>9.6978143233641623E-2</v>
      </c>
    </row>
    <row r="144" spans="1:10" ht="11.25" customHeight="1" x14ac:dyDescent="0.2">
      <c r="A144" s="55">
        <v>44501</v>
      </c>
      <c r="B144" s="45">
        <v>0</v>
      </c>
      <c r="C144" s="45">
        <v>0</v>
      </c>
      <c r="D144" s="45">
        <v>753.05160000000001</v>
      </c>
      <c r="E144" s="45">
        <v>869.63242794288499</v>
      </c>
      <c r="F144" s="45">
        <v>203.5215</v>
      </c>
      <c r="G144" s="45">
        <v>179.70735516236343</v>
      </c>
      <c r="H144" s="46">
        <v>0.15481120808040916</v>
      </c>
      <c r="I144" s="46">
        <v>-0.11701046247023816</v>
      </c>
      <c r="J144" s="46">
        <v>9.6978143233641401E-2</v>
      </c>
    </row>
    <row r="145" spans="1:10" ht="11.25" customHeight="1" x14ac:dyDescent="0.2">
      <c r="A145" s="55">
        <v>44531</v>
      </c>
      <c r="B145" s="45">
        <v>0</v>
      </c>
      <c r="C145" s="45">
        <v>0</v>
      </c>
      <c r="D145" s="45">
        <v>773.54280000000006</v>
      </c>
      <c r="E145" s="45">
        <v>893.29589536990227</v>
      </c>
      <c r="F145" s="45">
        <v>209.05950000000001</v>
      </c>
      <c r="G145" s="45">
        <v>184.59735122120324</v>
      </c>
      <c r="H145" s="46">
        <v>0.15481120808040894</v>
      </c>
      <c r="I145" s="46">
        <v>-0.11701046247023827</v>
      </c>
      <c r="J145" s="46">
        <v>9.6978143233641401E-2</v>
      </c>
    </row>
    <row r="146" spans="1:10" ht="11.25" customHeight="1" x14ac:dyDescent="0.2">
      <c r="A146" s="55">
        <v>44562</v>
      </c>
      <c r="B146" s="45">
        <v>0</v>
      </c>
      <c r="C146" s="45">
        <v>0</v>
      </c>
      <c r="D146" s="45">
        <v>799.15679999999986</v>
      </c>
      <c r="E146" s="45">
        <v>922.87522965367384</v>
      </c>
      <c r="F146" s="45">
        <v>215.98199999999997</v>
      </c>
      <c r="G146" s="45">
        <v>190.70984629475302</v>
      </c>
      <c r="H146" s="46">
        <v>0.15481120808040916</v>
      </c>
      <c r="I146" s="46">
        <v>-0.11701046247023805</v>
      </c>
      <c r="J146" s="46">
        <v>9.6978143233641623E-2</v>
      </c>
    </row>
    <row r="147" spans="1:10" ht="11.25" customHeight="1" x14ac:dyDescent="0.2">
      <c r="A147" s="55">
        <v>44593</v>
      </c>
      <c r="B147" s="45">
        <v>0</v>
      </c>
      <c r="C147" s="45">
        <v>0</v>
      </c>
      <c r="D147" s="45">
        <v>1173.1212</v>
      </c>
      <c r="E147" s="45">
        <v>1354.7335101967392</v>
      </c>
      <c r="F147" s="45">
        <v>317.0505</v>
      </c>
      <c r="G147" s="45">
        <v>279.95227436857976</v>
      </c>
      <c r="H147" s="46">
        <v>0.15481120808040894</v>
      </c>
      <c r="I147" s="46">
        <v>-0.11701046247023816</v>
      </c>
      <c r="J147" s="46">
        <v>9.6978143233641401E-2</v>
      </c>
    </row>
    <row r="148" spans="1:10" ht="11.25" customHeight="1" x14ac:dyDescent="0.2">
      <c r="A148" s="55">
        <v>44621</v>
      </c>
      <c r="B148" s="45">
        <v>0</v>
      </c>
      <c r="C148" s="45">
        <v>0</v>
      </c>
      <c r="D148" s="45">
        <v>2310.3827999999999</v>
      </c>
      <c r="E148" s="45">
        <v>2668.0559523961979</v>
      </c>
      <c r="F148" s="45">
        <v>624.40949999999998</v>
      </c>
      <c r="G148" s="45">
        <v>551.34705563418981</v>
      </c>
      <c r="H148" s="46">
        <v>0.15481120808040894</v>
      </c>
      <c r="I148" s="46">
        <v>-0.11701046247023816</v>
      </c>
      <c r="J148" s="46">
        <v>9.6978143233641401E-2</v>
      </c>
    </row>
    <row r="149" spans="1:10" ht="11.25" customHeight="1" x14ac:dyDescent="0.2">
      <c r="A149" s="55">
        <v>44652</v>
      </c>
      <c r="B149" s="45">
        <v>0</v>
      </c>
      <c r="C149" s="45">
        <v>0</v>
      </c>
      <c r="D149" s="45">
        <v>3293.9603999999995</v>
      </c>
      <c r="E149" s="45">
        <v>3803.9023888930274</v>
      </c>
      <c r="F149" s="45">
        <v>890.23349999999994</v>
      </c>
      <c r="G149" s="45">
        <v>786.06686645850118</v>
      </c>
      <c r="H149" s="46">
        <v>0.15481120808040916</v>
      </c>
      <c r="I149" s="46">
        <v>-0.11701046247023816</v>
      </c>
      <c r="J149" s="46">
        <v>9.6978143233641623E-2</v>
      </c>
    </row>
    <row r="150" spans="1:10" ht="11.25" customHeight="1" x14ac:dyDescent="0.2">
      <c r="A150" s="55">
        <v>44682</v>
      </c>
      <c r="B150" s="45">
        <v>0</v>
      </c>
      <c r="C150" s="45">
        <v>0</v>
      </c>
      <c r="D150" s="45">
        <v>3570.5915999999997</v>
      </c>
      <c r="E150" s="45">
        <v>4123.3591991577605</v>
      </c>
      <c r="F150" s="45">
        <v>964.99649999999997</v>
      </c>
      <c r="G150" s="45">
        <v>852.08181325283886</v>
      </c>
      <c r="H150" s="46">
        <v>0.15481120808040916</v>
      </c>
      <c r="I150" s="46">
        <v>-0.11701046247023805</v>
      </c>
      <c r="J150" s="46">
        <v>9.6978143233641401E-2</v>
      </c>
    </row>
    <row r="151" spans="1:10" ht="11.25" customHeight="1" x14ac:dyDescent="0.2">
      <c r="A151" s="55">
        <v>44713</v>
      </c>
      <c r="B151" s="45">
        <v>0</v>
      </c>
      <c r="C151" s="45">
        <v>0</v>
      </c>
      <c r="D151" s="45">
        <v>3734.5212000000001</v>
      </c>
      <c r="E151" s="45">
        <v>4312.6669385738996</v>
      </c>
      <c r="F151" s="45">
        <v>1009.3005000000001</v>
      </c>
      <c r="G151" s="45">
        <v>891.20178172355736</v>
      </c>
      <c r="H151" s="46">
        <v>0.15481120808040916</v>
      </c>
      <c r="I151" s="46">
        <v>-0.11701046247023827</v>
      </c>
      <c r="J151" s="46">
        <v>9.6978143233641401E-2</v>
      </c>
    </row>
    <row r="152" spans="1:10" ht="11.25" customHeight="1" x14ac:dyDescent="0.2">
      <c r="A152" s="51" t="s">
        <v>30</v>
      </c>
      <c r="B152" s="45">
        <v>0</v>
      </c>
      <c r="C152" s="45">
        <v>0</v>
      </c>
      <c r="D152" s="45">
        <v>64600.3995</v>
      </c>
      <c r="E152" s="45">
        <v>74599.081063671969</v>
      </c>
      <c r="F152" s="45">
        <v>17459.806</v>
      </c>
      <c r="G152" s="45">
        <v>15415.712575492536</v>
      </c>
      <c r="H152" s="46">
        <v>0.15477739520282641</v>
      </c>
      <c r="I152" s="46">
        <v>-0.11707423464541722</v>
      </c>
      <c r="J152" s="46">
        <v>9.693600071674835E-2</v>
      </c>
    </row>
    <row r="153" spans="1:10" ht="11.25" customHeight="1" x14ac:dyDescent="0.2">
      <c r="A153" s="52" t="s">
        <v>25</v>
      </c>
      <c r="B153" s="45">
        <v>0</v>
      </c>
      <c r="C153" s="45">
        <v>0</v>
      </c>
      <c r="D153" s="45">
        <v>64600.3995</v>
      </c>
      <c r="E153" s="45">
        <v>74599.081063671969</v>
      </c>
      <c r="F153" s="45">
        <v>17459.806</v>
      </c>
      <c r="G153" s="45">
        <v>15415.712575492536</v>
      </c>
      <c r="H153" s="46">
        <v>0.15477739520282641</v>
      </c>
      <c r="I153" s="46">
        <v>-0.11707423464541722</v>
      </c>
      <c r="J153" s="46">
        <v>9.693600071674835E-2</v>
      </c>
    </row>
    <row r="154" spans="1:10" ht="11.25" customHeight="1" x14ac:dyDescent="0.2">
      <c r="A154" s="53" t="s">
        <v>25</v>
      </c>
      <c r="B154" s="45">
        <v>0</v>
      </c>
      <c r="C154" s="45">
        <v>0</v>
      </c>
      <c r="D154" s="45">
        <v>64600.3995</v>
      </c>
      <c r="E154" s="45">
        <v>74599.081063671969</v>
      </c>
      <c r="F154" s="45">
        <v>17459.806</v>
      </c>
      <c r="G154" s="45">
        <v>15415.712575492536</v>
      </c>
      <c r="H154" s="46">
        <v>0.15477739520282641</v>
      </c>
      <c r="I154" s="46">
        <v>-0.11707423464541722</v>
      </c>
      <c r="J154" s="46">
        <v>9.693600071674835E-2</v>
      </c>
    </row>
    <row r="155" spans="1:10" ht="11.25" customHeight="1" x14ac:dyDescent="0.2">
      <c r="A155" s="54" t="s">
        <v>25</v>
      </c>
      <c r="B155" s="45">
        <v>0</v>
      </c>
      <c r="C155" s="45">
        <v>0</v>
      </c>
      <c r="D155" s="45">
        <v>64600.3995</v>
      </c>
      <c r="E155" s="45">
        <v>74599.081063671969</v>
      </c>
      <c r="F155" s="45">
        <v>17459.806</v>
      </c>
      <c r="G155" s="45">
        <v>15415.712575492536</v>
      </c>
      <c r="H155" s="46">
        <v>0.15477739520282641</v>
      </c>
      <c r="I155" s="46">
        <v>-0.11707423464541722</v>
      </c>
      <c r="J155" s="46">
        <v>9.693600071674835E-2</v>
      </c>
    </row>
    <row r="156" spans="1:10" ht="11.25" customHeight="1" x14ac:dyDescent="0.2">
      <c r="A156" s="55">
        <v>44378</v>
      </c>
      <c r="B156" s="45">
        <v>0</v>
      </c>
      <c r="C156" s="45">
        <v>0</v>
      </c>
      <c r="D156" s="45">
        <v>2403.3954000000003</v>
      </c>
      <c r="E156" s="45">
        <v>2775.3866796544553</v>
      </c>
      <c r="F156" s="45">
        <v>649.57520000000011</v>
      </c>
      <c r="G156" s="45">
        <v>573.52668061535621</v>
      </c>
      <c r="H156" s="46">
        <v>0.15477739520282641</v>
      </c>
      <c r="I156" s="46">
        <v>-0.11707423464541733</v>
      </c>
      <c r="J156" s="46">
        <v>9.6936000716748127E-2</v>
      </c>
    </row>
    <row r="157" spans="1:10" ht="11.25" customHeight="1" x14ac:dyDescent="0.2">
      <c r="A157" s="55">
        <v>44409</v>
      </c>
      <c r="B157" s="45">
        <v>0</v>
      </c>
      <c r="C157" s="45">
        <v>0</v>
      </c>
      <c r="D157" s="45">
        <v>2522.24784</v>
      </c>
      <c r="E157" s="45">
        <v>2912.6347907311551</v>
      </c>
      <c r="F157" s="45">
        <v>681.69792000000007</v>
      </c>
      <c r="G157" s="45">
        <v>601.88865775662714</v>
      </c>
      <c r="H157" s="46">
        <v>0.15477739520282641</v>
      </c>
      <c r="I157" s="46">
        <v>-0.11707423464541733</v>
      </c>
      <c r="J157" s="46">
        <v>9.6936000716748127E-2</v>
      </c>
    </row>
    <row r="158" spans="1:10" ht="11.25" customHeight="1" x14ac:dyDescent="0.2">
      <c r="A158" s="55">
        <v>44440</v>
      </c>
      <c r="B158" s="45">
        <v>0</v>
      </c>
      <c r="C158" s="45">
        <v>0</v>
      </c>
      <c r="D158" s="45">
        <v>2442.9153000000001</v>
      </c>
      <c r="E158" s="45">
        <v>2821.0233668351316</v>
      </c>
      <c r="F158" s="45">
        <v>660.2564000000001</v>
      </c>
      <c r="G158" s="45">
        <v>582.95738730026164</v>
      </c>
      <c r="H158" s="46">
        <v>0.15477739520282641</v>
      </c>
      <c r="I158" s="46">
        <v>-0.11707423464541722</v>
      </c>
      <c r="J158" s="46">
        <v>9.6936000716748127E-2</v>
      </c>
    </row>
    <row r="159" spans="1:10" ht="11.25" customHeight="1" x14ac:dyDescent="0.2">
      <c r="A159" s="55">
        <v>44470</v>
      </c>
      <c r="B159" s="45">
        <v>0</v>
      </c>
      <c r="C159" s="45">
        <v>0</v>
      </c>
      <c r="D159" s="45">
        <v>2618.2665600000005</v>
      </c>
      <c r="E159" s="45">
        <v>3023.515038103465</v>
      </c>
      <c r="F159" s="45">
        <v>707.64928000000009</v>
      </c>
      <c r="G159" s="45">
        <v>624.80178214661953</v>
      </c>
      <c r="H159" s="46">
        <v>0.15477739520282618</v>
      </c>
      <c r="I159" s="46">
        <v>-0.11707423464541722</v>
      </c>
      <c r="J159" s="46">
        <v>9.6936000716748127E-2</v>
      </c>
    </row>
    <row r="160" spans="1:10" ht="11.25" customHeight="1" x14ac:dyDescent="0.2">
      <c r="A160" s="55">
        <v>44501</v>
      </c>
      <c r="B160" s="45">
        <v>0</v>
      </c>
      <c r="C160" s="45">
        <v>0</v>
      </c>
      <c r="D160" s="45">
        <v>2864.1681600000002</v>
      </c>
      <c r="E160" s="45">
        <v>3307.4766472276724</v>
      </c>
      <c r="F160" s="45">
        <v>774.11008000000015</v>
      </c>
      <c r="G160" s="45">
        <v>683.4817348526974</v>
      </c>
      <c r="H160" s="46">
        <v>0.15477739520282641</v>
      </c>
      <c r="I160" s="46">
        <v>-0.11707423464541722</v>
      </c>
      <c r="J160" s="46">
        <v>9.6936000716748127E-2</v>
      </c>
    </row>
    <row r="161" spans="1:10" ht="11.25" customHeight="1" x14ac:dyDescent="0.2">
      <c r="A161" s="55">
        <v>44531</v>
      </c>
      <c r="B161" s="45">
        <v>0</v>
      </c>
      <c r="C161" s="45">
        <v>0</v>
      </c>
      <c r="D161" s="45">
        <v>2950.2337199999997</v>
      </c>
      <c r="E161" s="45">
        <v>3406.8632104211447</v>
      </c>
      <c r="F161" s="45">
        <v>797.37135999999998</v>
      </c>
      <c r="G161" s="45">
        <v>704.01971829982449</v>
      </c>
      <c r="H161" s="46">
        <v>0.15477739520282641</v>
      </c>
      <c r="I161" s="46">
        <v>-0.11707423464541733</v>
      </c>
      <c r="J161" s="46">
        <v>9.693600071674835E-2</v>
      </c>
    </row>
    <row r="162" spans="1:10" ht="11.25" customHeight="1" x14ac:dyDescent="0.2">
      <c r="A162" s="55">
        <v>44562</v>
      </c>
      <c r="B162" s="45">
        <v>0</v>
      </c>
      <c r="C162" s="45">
        <v>0</v>
      </c>
      <c r="D162" s="45">
        <v>3069.3788999999997</v>
      </c>
      <c r="E162" s="45">
        <v>3544.4493710325164</v>
      </c>
      <c r="F162" s="45">
        <v>829.57320000000004</v>
      </c>
      <c r="G162" s="45">
        <v>732.45155252765028</v>
      </c>
      <c r="H162" s="46">
        <v>0.15477739520282641</v>
      </c>
      <c r="I162" s="46">
        <v>-0.11707423464541733</v>
      </c>
      <c r="J162" s="46">
        <v>9.693600071674835E-2</v>
      </c>
    </row>
    <row r="163" spans="1:10" ht="11.25" customHeight="1" x14ac:dyDescent="0.2">
      <c r="A163" s="55">
        <v>44593</v>
      </c>
      <c r="B163" s="45">
        <v>0</v>
      </c>
      <c r="C163" s="45">
        <v>0</v>
      </c>
      <c r="D163" s="45">
        <v>4244.4372600000006</v>
      </c>
      <c r="E163" s="45">
        <v>4901.3802032046224</v>
      </c>
      <c r="F163" s="45">
        <v>1147.1608800000001</v>
      </c>
      <c r="G163" s="45">
        <v>1012.8578979588367</v>
      </c>
      <c r="H163" s="46">
        <v>0.15477739520282641</v>
      </c>
      <c r="I163" s="46">
        <v>-0.11707423464541733</v>
      </c>
      <c r="J163" s="46">
        <v>9.6936000716748127E-2</v>
      </c>
    </row>
    <row r="164" spans="1:10" ht="11.25" customHeight="1" x14ac:dyDescent="0.2">
      <c r="A164" s="55">
        <v>44621</v>
      </c>
      <c r="B164" s="45">
        <v>0</v>
      </c>
      <c r="C164" s="45">
        <v>0</v>
      </c>
      <c r="D164" s="45">
        <v>7682.6685600000001</v>
      </c>
      <c r="E164" s="45">
        <v>8871.7719879234501</v>
      </c>
      <c r="F164" s="45">
        <v>2076.4252799999999</v>
      </c>
      <c r="G164" s="45">
        <v>1833.3293795456038</v>
      </c>
      <c r="H164" s="46">
        <v>0.15477739520282641</v>
      </c>
      <c r="I164" s="46">
        <v>-0.11707423464541722</v>
      </c>
      <c r="J164" s="46">
        <v>9.693600071674835E-2</v>
      </c>
    </row>
    <row r="165" spans="1:10" ht="11.25" customHeight="1" x14ac:dyDescent="0.2">
      <c r="A165" s="55">
        <v>44652</v>
      </c>
      <c r="B165" s="45">
        <v>0</v>
      </c>
      <c r="C165" s="45">
        <v>0</v>
      </c>
      <c r="D165" s="45">
        <v>10758.48774</v>
      </c>
      <c r="E165" s="45">
        <v>12423.658448718743</v>
      </c>
      <c r="F165" s="45">
        <v>2907.7391200000002</v>
      </c>
      <c r="G165" s="45">
        <v>2567.3177879774607</v>
      </c>
      <c r="H165" s="46">
        <v>0.15477739520282641</v>
      </c>
      <c r="I165" s="46">
        <v>-0.11707423464541733</v>
      </c>
      <c r="J165" s="46">
        <v>9.6936000716748127E-2</v>
      </c>
    </row>
    <row r="166" spans="1:10" ht="11.25" customHeight="1" x14ac:dyDescent="0.2">
      <c r="A166" s="55">
        <v>44682</v>
      </c>
      <c r="B166" s="45">
        <v>0</v>
      </c>
      <c r="C166" s="45">
        <v>0</v>
      </c>
      <c r="D166" s="45">
        <v>11241.216</v>
      </c>
      <c r="E166" s="45">
        <v>12981.102131392336</v>
      </c>
      <c r="F166" s="45">
        <v>3038.2080000000001</v>
      </c>
      <c r="G166" s="45">
        <v>2682.5121237064163</v>
      </c>
      <c r="H166" s="46">
        <v>0.15477739520282641</v>
      </c>
      <c r="I166" s="46">
        <v>-0.11707423464541722</v>
      </c>
      <c r="J166" s="46">
        <v>9.6936000716748127E-2</v>
      </c>
    </row>
    <row r="167" spans="1:10" ht="11.25" customHeight="1" x14ac:dyDescent="0.2">
      <c r="A167" s="55">
        <v>44713</v>
      </c>
      <c r="B167" s="45">
        <v>0</v>
      </c>
      <c r="C167" s="45">
        <v>0</v>
      </c>
      <c r="D167" s="45">
        <v>11802.984060000001</v>
      </c>
      <c r="E167" s="45">
        <v>13629.819188427282</v>
      </c>
      <c r="F167" s="45">
        <v>3190.0392800000004</v>
      </c>
      <c r="G167" s="45">
        <v>2816.5678728051826</v>
      </c>
      <c r="H167" s="46">
        <v>0.15477739520282641</v>
      </c>
      <c r="I167" s="46">
        <v>-0.11707423464541722</v>
      </c>
      <c r="J167" s="46">
        <v>9.6936000716748127E-2</v>
      </c>
    </row>
    <row r="168" spans="1:10" ht="11.25" customHeight="1" x14ac:dyDescent="0.2">
      <c r="A168" s="51" t="s">
        <v>31</v>
      </c>
      <c r="B168" s="45">
        <v>0</v>
      </c>
      <c r="C168" s="45">
        <v>0</v>
      </c>
      <c r="D168" s="45">
        <v>90115.175699999993</v>
      </c>
      <c r="E168" s="45">
        <v>104065.3377780959</v>
      </c>
      <c r="F168" s="45">
        <v>24356.340360000002</v>
      </c>
      <c r="G168" s="45">
        <v>21504.840453589713</v>
      </c>
      <c r="H168" s="46">
        <v>0.15480369393649096</v>
      </c>
      <c r="I168" s="46">
        <v>-0.11707423464541722</v>
      </c>
      <c r="J168" s="46">
        <v>9.6955666821677111E-2</v>
      </c>
    </row>
    <row r="169" spans="1:10" ht="11.25" customHeight="1" x14ac:dyDescent="0.2">
      <c r="A169" s="52" t="s">
        <v>25</v>
      </c>
      <c r="B169" s="45">
        <v>0</v>
      </c>
      <c r="C169" s="45">
        <v>0</v>
      </c>
      <c r="D169" s="45">
        <v>90115.175699999993</v>
      </c>
      <c r="E169" s="45">
        <v>104065.3377780959</v>
      </c>
      <c r="F169" s="45">
        <v>24356.340360000002</v>
      </c>
      <c r="G169" s="45">
        <v>21504.840453589713</v>
      </c>
      <c r="H169" s="46">
        <v>0.15480369393649096</v>
      </c>
      <c r="I169" s="46">
        <v>-0.11707423464541722</v>
      </c>
      <c r="J169" s="46">
        <v>9.6955666821677111E-2</v>
      </c>
    </row>
    <row r="170" spans="1:10" ht="11.25" customHeight="1" x14ac:dyDescent="0.2">
      <c r="A170" s="53" t="s">
        <v>25</v>
      </c>
      <c r="B170" s="45">
        <v>0</v>
      </c>
      <c r="C170" s="45">
        <v>0</v>
      </c>
      <c r="D170" s="45">
        <v>90115.175699999993</v>
      </c>
      <c r="E170" s="45">
        <v>104065.3377780959</v>
      </c>
      <c r="F170" s="45">
        <v>24356.340360000002</v>
      </c>
      <c r="G170" s="45">
        <v>21504.840453589713</v>
      </c>
      <c r="H170" s="46">
        <v>0.15480369393649096</v>
      </c>
      <c r="I170" s="46">
        <v>-0.11707423464541722</v>
      </c>
      <c r="J170" s="46">
        <v>9.6955666821677111E-2</v>
      </c>
    </row>
    <row r="171" spans="1:10" ht="11.25" customHeight="1" x14ac:dyDescent="0.2">
      <c r="A171" s="54" t="s">
        <v>25</v>
      </c>
      <c r="B171" s="45">
        <v>0</v>
      </c>
      <c r="C171" s="45">
        <v>0</v>
      </c>
      <c r="D171" s="45">
        <v>90115.175699999993</v>
      </c>
      <c r="E171" s="45">
        <v>104065.3377780959</v>
      </c>
      <c r="F171" s="45">
        <v>24356.340360000002</v>
      </c>
      <c r="G171" s="45">
        <v>21504.840453589713</v>
      </c>
      <c r="H171" s="46">
        <v>0.15480369393649096</v>
      </c>
      <c r="I171" s="46">
        <v>-0.11707423464541722</v>
      </c>
      <c r="J171" s="46">
        <v>9.6955666821677111E-2</v>
      </c>
    </row>
    <row r="172" spans="1:10" ht="11.25" customHeight="1" x14ac:dyDescent="0.2">
      <c r="A172" s="55">
        <v>44378</v>
      </c>
      <c r="B172" s="45">
        <v>0</v>
      </c>
      <c r="C172" s="45">
        <v>0</v>
      </c>
      <c r="D172" s="45">
        <v>3707.3213000000001</v>
      </c>
      <c r="E172" s="45">
        <v>4281.2283318494337</v>
      </c>
      <c r="F172" s="45">
        <v>1002.0152400000001</v>
      </c>
      <c r="G172" s="45">
        <v>884.7050726739559</v>
      </c>
      <c r="H172" s="46">
        <v>0.15480369393649096</v>
      </c>
      <c r="I172" s="46">
        <v>-0.11707423464541733</v>
      </c>
      <c r="J172" s="46">
        <v>9.6955666821677111E-2</v>
      </c>
    </row>
    <row r="173" spans="1:10" ht="11.25" customHeight="1" x14ac:dyDescent="0.2">
      <c r="A173" s="55">
        <v>44409</v>
      </c>
      <c r="B173" s="45">
        <v>0</v>
      </c>
      <c r="C173" s="45">
        <v>0</v>
      </c>
      <c r="D173" s="45">
        <v>4122.7098999999998</v>
      </c>
      <c r="E173" s="45">
        <v>4760.920621548541</v>
      </c>
      <c r="F173" s="45">
        <v>1114.2865199999999</v>
      </c>
      <c r="G173" s="45">
        <v>983.83227849529453</v>
      </c>
      <c r="H173" s="46">
        <v>0.15480369393649096</v>
      </c>
      <c r="I173" s="46">
        <v>-0.11707423464541722</v>
      </c>
      <c r="J173" s="46">
        <v>9.6955666821677111E-2</v>
      </c>
    </row>
    <row r="174" spans="1:10" ht="11.25" customHeight="1" x14ac:dyDescent="0.2">
      <c r="A174" s="55">
        <v>44440</v>
      </c>
      <c r="B174" s="45">
        <v>0</v>
      </c>
      <c r="C174" s="45">
        <v>0</v>
      </c>
      <c r="D174" s="45">
        <v>3904.4771999999998</v>
      </c>
      <c r="E174" s="45">
        <v>4508.9046934508069</v>
      </c>
      <c r="F174" s="45">
        <v>1055.3025600000001</v>
      </c>
      <c r="G174" s="45">
        <v>931.75382046865047</v>
      </c>
      <c r="H174" s="46">
        <v>0.15480369393649096</v>
      </c>
      <c r="I174" s="46">
        <v>-0.11707423464541733</v>
      </c>
      <c r="J174" s="46">
        <v>9.6955666821677333E-2</v>
      </c>
    </row>
    <row r="175" spans="1:10" ht="11.25" customHeight="1" x14ac:dyDescent="0.2">
      <c r="A175" s="55">
        <v>44470</v>
      </c>
      <c r="B175" s="45">
        <v>0</v>
      </c>
      <c r="C175" s="45">
        <v>0</v>
      </c>
      <c r="D175" s="45">
        <v>4405.9294000000009</v>
      </c>
      <c r="E175" s="45">
        <v>5087.9835463433874</v>
      </c>
      <c r="F175" s="45">
        <v>1190.8351200000002</v>
      </c>
      <c r="G175" s="45">
        <v>1051.4190097371165</v>
      </c>
      <c r="H175" s="46">
        <v>0.15480369393649074</v>
      </c>
      <c r="I175" s="46">
        <v>-0.11707423464541722</v>
      </c>
      <c r="J175" s="46">
        <v>9.6955666821677111E-2</v>
      </c>
    </row>
    <row r="176" spans="1:10" ht="11.25" customHeight="1" x14ac:dyDescent="0.2">
      <c r="A176" s="55">
        <v>44501</v>
      </c>
      <c r="B176" s="45">
        <v>0</v>
      </c>
      <c r="C176" s="45">
        <v>0</v>
      </c>
      <c r="D176" s="45">
        <v>4556.1016</v>
      </c>
      <c r="E176" s="45">
        <v>5261.4029576299563</v>
      </c>
      <c r="F176" s="45">
        <v>1231.4236800000001</v>
      </c>
      <c r="G176" s="45">
        <v>1087.2556951397569</v>
      </c>
      <c r="H176" s="46">
        <v>0.15480369393649096</v>
      </c>
      <c r="I176" s="46">
        <v>-0.11707423464541722</v>
      </c>
      <c r="J176" s="46">
        <v>9.6955666821677111E-2</v>
      </c>
    </row>
    <row r="177" spans="1:10" ht="11.25" customHeight="1" x14ac:dyDescent="0.2">
      <c r="A177" s="55">
        <v>44531</v>
      </c>
      <c r="B177" s="45">
        <v>0</v>
      </c>
      <c r="C177" s="45">
        <v>0</v>
      </c>
      <c r="D177" s="45">
        <v>4272.8820999999998</v>
      </c>
      <c r="E177" s="45">
        <v>4934.3400328351108</v>
      </c>
      <c r="F177" s="45">
        <v>1154.87508</v>
      </c>
      <c r="G177" s="45">
        <v>1019.668963897935</v>
      </c>
      <c r="H177" s="46">
        <v>0.15480369393649096</v>
      </c>
      <c r="I177" s="46">
        <v>-0.11707423464541722</v>
      </c>
      <c r="J177" s="46">
        <v>9.6955666821677333E-2</v>
      </c>
    </row>
    <row r="178" spans="1:10" ht="11.25" customHeight="1" x14ac:dyDescent="0.2">
      <c r="A178" s="55">
        <v>44562</v>
      </c>
      <c r="B178" s="45">
        <v>0</v>
      </c>
      <c r="C178" s="45">
        <v>0</v>
      </c>
      <c r="D178" s="45">
        <v>5102.7811000000011</v>
      </c>
      <c r="E178" s="45">
        <v>5892.7104636293107</v>
      </c>
      <c r="F178" s="45">
        <v>1379.18028</v>
      </c>
      <c r="G178" s="45">
        <v>1217.7138042809479</v>
      </c>
      <c r="H178" s="46">
        <v>0.15480369393649074</v>
      </c>
      <c r="I178" s="46">
        <v>-0.11707423464541711</v>
      </c>
      <c r="J178" s="46">
        <v>9.6955666821677111E-2</v>
      </c>
    </row>
    <row r="179" spans="1:10" ht="11.25" customHeight="1" x14ac:dyDescent="0.2">
      <c r="A179" s="55">
        <v>44593</v>
      </c>
      <c r="B179" s="45">
        <v>0</v>
      </c>
      <c r="C179" s="45">
        <v>0</v>
      </c>
      <c r="D179" s="45">
        <v>6130.7142000000003</v>
      </c>
      <c r="E179" s="45">
        <v>7079.7714046288984</v>
      </c>
      <c r="F179" s="45">
        <v>1657.01016</v>
      </c>
      <c r="G179" s="45">
        <v>1463.0169637183196</v>
      </c>
      <c r="H179" s="46">
        <v>0.15480369393649074</v>
      </c>
      <c r="I179" s="46">
        <v>-0.11707423464541722</v>
      </c>
      <c r="J179" s="46">
        <v>9.6955666821676889E-2</v>
      </c>
    </row>
    <row r="180" spans="1:10" ht="11.25" customHeight="1" x14ac:dyDescent="0.2">
      <c r="A180" s="55">
        <v>44621</v>
      </c>
      <c r="B180" s="45">
        <v>0</v>
      </c>
      <c r="C180" s="45">
        <v>0</v>
      </c>
      <c r="D180" s="45">
        <v>9412.5475999999999</v>
      </c>
      <c r="E180" s="45">
        <v>10869.644737833052</v>
      </c>
      <c r="F180" s="45">
        <v>2544.02448</v>
      </c>
      <c r="G180" s="45">
        <v>2246.1847610847944</v>
      </c>
      <c r="H180" s="46">
        <v>0.15480369393649096</v>
      </c>
      <c r="I180" s="46">
        <v>-0.11707423464541722</v>
      </c>
      <c r="J180" s="46">
        <v>9.6955666821677111E-2</v>
      </c>
    </row>
    <row r="181" spans="1:10" ht="11.25" customHeight="1" x14ac:dyDescent="0.2">
      <c r="A181" s="55">
        <v>44652</v>
      </c>
      <c r="B181" s="45">
        <v>0</v>
      </c>
      <c r="C181" s="45">
        <v>0</v>
      </c>
      <c r="D181" s="45">
        <v>14550.8958</v>
      </c>
      <c r="E181" s="45">
        <v>16803.428219924968</v>
      </c>
      <c r="F181" s="45">
        <v>3932.8178400000002</v>
      </c>
      <c r="G181" s="45">
        <v>3472.3862013821567</v>
      </c>
      <c r="H181" s="46">
        <v>0.15480369393649074</v>
      </c>
      <c r="I181" s="46">
        <v>-0.11707423464541733</v>
      </c>
      <c r="J181" s="46">
        <v>9.6955666821676889E-2</v>
      </c>
    </row>
    <row r="182" spans="1:10" ht="11.25" customHeight="1" x14ac:dyDescent="0.2">
      <c r="A182" s="55">
        <v>44682</v>
      </c>
      <c r="B182" s="45">
        <v>0</v>
      </c>
      <c r="C182" s="45">
        <v>0</v>
      </c>
      <c r="D182" s="45">
        <v>14104.331100000001</v>
      </c>
      <c r="E182" s="45">
        <v>16287.733654783331</v>
      </c>
      <c r="F182" s="45">
        <v>3812.1202800000005</v>
      </c>
      <c r="G182" s="45">
        <v>3365.8192158427269</v>
      </c>
      <c r="H182" s="46">
        <v>0.15480369393649096</v>
      </c>
      <c r="I182" s="46">
        <v>-0.11707423464541722</v>
      </c>
      <c r="J182" s="46">
        <v>9.6955666821677111E-2</v>
      </c>
    </row>
    <row r="183" spans="1:10" ht="11.25" customHeight="1" x14ac:dyDescent="0.2">
      <c r="A183" s="55">
        <v>44713</v>
      </c>
      <c r="B183" s="45">
        <v>0</v>
      </c>
      <c r="C183" s="45">
        <v>0</v>
      </c>
      <c r="D183" s="45">
        <v>15844.484400000003</v>
      </c>
      <c r="E183" s="45">
        <v>18297.269113639108</v>
      </c>
      <c r="F183" s="45">
        <v>4282.4491200000002</v>
      </c>
      <c r="G183" s="45">
        <v>3781.0846668680597</v>
      </c>
      <c r="H183" s="46">
        <v>0.15480369393649096</v>
      </c>
      <c r="I183" s="46">
        <v>-0.11707423464541722</v>
      </c>
      <c r="J183" s="46">
        <v>9.6955666821677111E-2</v>
      </c>
    </row>
    <row r="184" spans="1:10" ht="11.25" customHeight="1" x14ac:dyDescent="0.2">
      <c r="A184" s="51" t="s">
        <v>32</v>
      </c>
      <c r="B184" s="45">
        <v>0</v>
      </c>
      <c r="C184" s="45">
        <v>0</v>
      </c>
      <c r="D184" s="45">
        <v>36742.995900000002</v>
      </c>
      <c r="E184" s="45">
        <v>42430.850760206456</v>
      </c>
      <c r="F184" s="45">
        <v>9931.1297000000013</v>
      </c>
      <c r="G184" s="45">
        <v>8768.2286474101638</v>
      </c>
      <c r="H184" s="46">
        <v>0.15480106400922145</v>
      </c>
      <c r="I184" s="46">
        <v>-0.11709655273053554</v>
      </c>
      <c r="J184" s="46">
        <v>9.6947800295087427E-2</v>
      </c>
    </row>
    <row r="185" spans="1:10" ht="11.25" customHeight="1" x14ac:dyDescent="0.2">
      <c r="A185" s="52" t="s">
        <v>25</v>
      </c>
      <c r="B185" s="45">
        <v>0</v>
      </c>
      <c r="C185" s="45">
        <v>0</v>
      </c>
      <c r="D185" s="45">
        <v>36742.995900000002</v>
      </c>
      <c r="E185" s="45">
        <v>42430.850760206456</v>
      </c>
      <c r="F185" s="45">
        <v>9931.1297000000013</v>
      </c>
      <c r="G185" s="45">
        <v>8768.2286474101638</v>
      </c>
      <c r="H185" s="46">
        <v>0.15480106400922145</v>
      </c>
      <c r="I185" s="46">
        <v>-0.11709655273053554</v>
      </c>
      <c r="J185" s="46">
        <v>9.6947800295087427E-2</v>
      </c>
    </row>
    <row r="186" spans="1:10" ht="11.25" customHeight="1" x14ac:dyDescent="0.2">
      <c r="A186" s="53" t="s">
        <v>25</v>
      </c>
      <c r="B186" s="45">
        <v>0</v>
      </c>
      <c r="C186" s="45">
        <v>0</v>
      </c>
      <c r="D186" s="45">
        <v>36742.995900000002</v>
      </c>
      <c r="E186" s="45">
        <v>42430.850760206456</v>
      </c>
      <c r="F186" s="45">
        <v>9931.1297000000013</v>
      </c>
      <c r="G186" s="45">
        <v>8768.2286474101638</v>
      </c>
      <c r="H186" s="46">
        <v>0.15480106400922145</v>
      </c>
      <c r="I186" s="46">
        <v>-0.11709655273053554</v>
      </c>
      <c r="J186" s="46">
        <v>9.6947800295087427E-2</v>
      </c>
    </row>
    <row r="187" spans="1:10" ht="11.25" customHeight="1" x14ac:dyDescent="0.2">
      <c r="A187" s="54" t="s">
        <v>25</v>
      </c>
      <c r="B187" s="45">
        <v>0</v>
      </c>
      <c r="C187" s="45">
        <v>0</v>
      </c>
      <c r="D187" s="45">
        <v>36742.995900000002</v>
      </c>
      <c r="E187" s="45">
        <v>42430.850760206456</v>
      </c>
      <c r="F187" s="45">
        <v>9931.1297000000013</v>
      </c>
      <c r="G187" s="45">
        <v>8768.2286474101638</v>
      </c>
      <c r="H187" s="46">
        <v>0.15480106400922145</v>
      </c>
      <c r="I187" s="46">
        <v>-0.11709655273053554</v>
      </c>
      <c r="J187" s="46">
        <v>9.6947800295087427E-2</v>
      </c>
    </row>
    <row r="188" spans="1:10" ht="11.25" customHeight="1" x14ac:dyDescent="0.2">
      <c r="A188" s="55">
        <v>44378</v>
      </c>
      <c r="B188" s="45">
        <v>0</v>
      </c>
      <c r="C188" s="45">
        <v>0</v>
      </c>
      <c r="D188" s="45">
        <v>1383.16815</v>
      </c>
      <c r="E188" s="45">
        <v>1597.2840513236663</v>
      </c>
      <c r="F188" s="45">
        <v>373.85145</v>
      </c>
      <c r="G188" s="45">
        <v>330.07473397168792</v>
      </c>
      <c r="H188" s="46">
        <v>0.15480106400922145</v>
      </c>
      <c r="I188" s="46">
        <v>-0.11709655273053532</v>
      </c>
      <c r="J188" s="46">
        <v>9.6947800295087205E-2</v>
      </c>
    </row>
    <row r="189" spans="1:10" ht="11.25" customHeight="1" x14ac:dyDescent="0.2">
      <c r="A189" s="55">
        <v>44409</v>
      </c>
      <c r="B189" s="45">
        <v>0</v>
      </c>
      <c r="C189" s="45">
        <v>0</v>
      </c>
      <c r="D189" s="45">
        <v>1733.47317</v>
      </c>
      <c r="E189" s="45">
        <v>2001.816661147438</v>
      </c>
      <c r="F189" s="45">
        <v>468.53411</v>
      </c>
      <c r="G189" s="45">
        <v>413.67038088233056</v>
      </c>
      <c r="H189" s="46">
        <v>0.15480106400922145</v>
      </c>
      <c r="I189" s="46">
        <v>-0.11709655273053532</v>
      </c>
      <c r="J189" s="46">
        <v>9.6947800295087427E-2</v>
      </c>
    </row>
    <row r="190" spans="1:10" ht="11.25" customHeight="1" x14ac:dyDescent="0.2">
      <c r="A190" s="55">
        <v>44440</v>
      </c>
      <c r="B190" s="45">
        <v>0</v>
      </c>
      <c r="C190" s="45">
        <v>0</v>
      </c>
      <c r="D190" s="45">
        <v>1431.95715</v>
      </c>
      <c r="E190" s="45">
        <v>1653.6256404356122</v>
      </c>
      <c r="F190" s="45">
        <v>387.03845000000001</v>
      </c>
      <c r="G190" s="45">
        <v>341.71758173083037</v>
      </c>
      <c r="H190" s="46">
        <v>0.15480106400922145</v>
      </c>
      <c r="I190" s="46">
        <v>-0.11709655273053521</v>
      </c>
      <c r="J190" s="46">
        <v>9.6947800295087427E-2</v>
      </c>
    </row>
    <row r="191" spans="1:10" ht="11.25" customHeight="1" x14ac:dyDescent="0.2">
      <c r="A191" s="55">
        <v>44470</v>
      </c>
      <c r="B191" s="45">
        <v>0</v>
      </c>
      <c r="C191" s="45">
        <v>0</v>
      </c>
      <c r="D191" s="45">
        <v>1775.4317099999998</v>
      </c>
      <c r="E191" s="45">
        <v>2050.2704277837115</v>
      </c>
      <c r="F191" s="45">
        <v>479.87493000000001</v>
      </c>
      <c r="G191" s="45">
        <v>423.68322995519304</v>
      </c>
      <c r="H191" s="46">
        <v>0.15480106400922167</v>
      </c>
      <c r="I191" s="46">
        <v>-0.11709655273053532</v>
      </c>
      <c r="J191" s="46">
        <v>9.6947800295087427E-2</v>
      </c>
    </row>
    <row r="192" spans="1:10" ht="11.25" customHeight="1" x14ac:dyDescent="0.2">
      <c r="A192" s="55">
        <v>44501</v>
      </c>
      <c r="B192" s="45">
        <v>0</v>
      </c>
      <c r="C192" s="45">
        <v>0</v>
      </c>
      <c r="D192" s="45">
        <v>1501.2375299999999</v>
      </c>
      <c r="E192" s="45">
        <v>1733.6306969745754</v>
      </c>
      <c r="F192" s="45">
        <v>405.76399000000004</v>
      </c>
      <c r="G192" s="45">
        <v>358.25042554881259</v>
      </c>
      <c r="H192" s="46">
        <v>0.15480106400922145</v>
      </c>
      <c r="I192" s="46">
        <v>-0.11709655273053543</v>
      </c>
      <c r="J192" s="46">
        <v>9.6947800295087427E-2</v>
      </c>
    </row>
    <row r="193" spans="1:10" ht="11.25" customHeight="1" x14ac:dyDescent="0.2">
      <c r="A193" s="55">
        <v>44531</v>
      </c>
      <c r="B193" s="45">
        <v>0</v>
      </c>
      <c r="C193" s="45">
        <v>0</v>
      </c>
      <c r="D193" s="45">
        <v>1057.2576299999998</v>
      </c>
      <c r="E193" s="45">
        <v>1220.9222360558676</v>
      </c>
      <c r="F193" s="45">
        <v>285.76229000000001</v>
      </c>
      <c r="G193" s="45">
        <v>252.30051094061645</v>
      </c>
      <c r="H193" s="46">
        <v>0.15480106400922145</v>
      </c>
      <c r="I193" s="46">
        <v>-0.11709655273053543</v>
      </c>
      <c r="J193" s="46">
        <v>9.6947800295087649E-2</v>
      </c>
    </row>
    <row r="194" spans="1:10" ht="11.25" customHeight="1" x14ac:dyDescent="0.2">
      <c r="A194" s="55">
        <v>44562</v>
      </c>
      <c r="B194" s="45">
        <v>0</v>
      </c>
      <c r="C194" s="45">
        <v>0</v>
      </c>
      <c r="D194" s="45">
        <v>1780.7984999999999</v>
      </c>
      <c r="E194" s="45">
        <v>2056.4680025860257</v>
      </c>
      <c r="F194" s="45">
        <v>481.32550000000003</v>
      </c>
      <c r="G194" s="45">
        <v>424.96394320869871</v>
      </c>
      <c r="H194" s="46">
        <v>0.15480106400922167</v>
      </c>
      <c r="I194" s="46">
        <v>-0.11709655273053543</v>
      </c>
      <c r="J194" s="46">
        <v>9.6947800295087649E-2</v>
      </c>
    </row>
    <row r="195" spans="1:10" ht="11.25" customHeight="1" x14ac:dyDescent="0.2">
      <c r="A195" s="55">
        <v>44593</v>
      </c>
      <c r="B195" s="45">
        <v>0</v>
      </c>
      <c r="C195" s="45">
        <v>0</v>
      </c>
      <c r="D195" s="45">
        <v>2502.3878099999997</v>
      </c>
      <c r="E195" s="45">
        <v>2889.7601055517052</v>
      </c>
      <c r="F195" s="45">
        <v>676.36122999999998</v>
      </c>
      <c r="G195" s="45">
        <v>597.16166156641521</v>
      </c>
      <c r="H195" s="46">
        <v>0.15480106400922145</v>
      </c>
      <c r="I195" s="46">
        <v>-0.11709655273053543</v>
      </c>
      <c r="J195" s="46">
        <v>9.6947800295087427E-2</v>
      </c>
    </row>
    <row r="196" spans="1:10" ht="11.25" customHeight="1" x14ac:dyDescent="0.2">
      <c r="A196" s="55">
        <v>44621</v>
      </c>
      <c r="B196" s="45">
        <v>0</v>
      </c>
      <c r="C196" s="45">
        <v>0</v>
      </c>
      <c r="D196" s="45">
        <v>3541.1056199999998</v>
      </c>
      <c r="E196" s="45">
        <v>4089.2725377450338</v>
      </c>
      <c r="F196" s="45">
        <v>957.11246000000006</v>
      </c>
      <c r="G196" s="45">
        <v>845.03789035855766</v>
      </c>
      <c r="H196" s="46">
        <v>0.15480106400922145</v>
      </c>
      <c r="I196" s="46">
        <v>-0.11709655273053532</v>
      </c>
      <c r="J196" s="46">
        <v>9.6947800295087427E-2</v>
      </c>
    </row>
    <row r="197" spans="1:10" ht="11.25" customHeight="1" x14ac:dyDescent="0.2">
      <c r="A197" s="55">
        <v>44652</v>
      </c>
      <c r="B197" s="45">
        <v>0</v>
      </c>
      <c r="C197" s="45">
        <v>0</v>
      </c>
      <c r="D197" s="45">
        <v>6614.8126199999997</v>
      </c>
      <c r="E197" s="45">
        <v>7638.7926517976257</v>
      </c>
      <c r="F197" s="45">
        <v>1787.89346</v>
      </c>
      <c r="G197" s="45">
        <v>1578.5372991845309</v>
      </c>
      <c r="H197" s="46">
        <v>0.15480106400922145</v>
      </c>
      <c r="I197" s="46">
        <v>-0.11709655273053521</v>
      </c>
      <c r="J197" s="46">
        <v>9.6947800295087427E-2</v>
      </c>
    </row>
    <row r="198" spans="1:10" ht="11.25" customHeight="1" x14ac:dyDescent="0.2">
      <c r="A198" s="55">
        <v>44682</v>
      </c>
      <c r="B198" s="45">
        <v>0</v>
      </c>
      <c r="C198" s="45">
        <v>0</v>
      </c>
      <c r="D198" s="45">
        <v>5894.6869800000004</v>
      </c>
      <c r="E198" s="45">
        <v>6807.1907965053042</v>
      </c>
      <c r="F198" s="45">
        <v>1593.2533400000002</v>
      </c>
      <c r="G198" s="45">
        <v>1406.6888662595886</v>
      </c>
      <c r="H198" s="46">
        <v>0.15480106400922145</v>
      </c>
      <c r="I198" s="46">
        <v>-0.11709655273053532</v>
      </c>
      <c r="J198" s="46">
        <v>9.6947800295087427E-2</v>
      </c>
    </row>
    <row r="199" spans="1:10" ht="11.25" customHeight="1" x14ac:dyDescent="0.2">
      <c r="A199" s="55">
        <v>44713</v>
      </c>
      <c r="B199" s="45">
        <v>0</v>
      </c>
      <c r="C199" s="45">
        <v>0</v>
      </c>
      <c r="D199" s="45">
        <v>7526.6790299999993</v>
      </c>
      <c r="E199" s="45">
        <v>8691.8169522998942</v>
      </c>
      <c r="F199" s="45">
        <v>2034.3584900000001</v>
      </c>
      <c r="G199" s="45">
        <v>1796.1421238029029</v>
      </c>
      <c r="H199" s="46">
        <v>0.15480106400922145</v>
      </c>
      <c r="I199" s="46">
        <v>-0.11709655273053532</v>
      </c>
      <c r="J199" s="46">
        <v>9.6947800295087427E-2</v>
      </c>
    </row>
    <row r="200" spans="1:10" ht="11.25" customHeight="1" x14ac:dyDescent="0.2">
      <c r="A200" s="48" t="s">
        <v>41</v>
      </c>
      <c r="B200" s="45">
        <v>0</v>
      </c>
      <c r="C200" s="45">
        <v>0</v>
      </c>
      <c r="D200" s="45">
        <v>330628.25448</v>
      </c>
      <c r="E200" s="45">
        <v>424994.63579772227</v>
      </c>
      <c r="F200" s="45">
        <v>78301.720199999996</v>
      </c>
      <c r="G200" s="45">
        <v>73843.662827532404</v>
      </c>
      <c r="H200" s="46">
        <v>0.28541535709383981</v>
      </c>
      <c r="I200" s="46">
        <v>-5.6934347816123387E-2</v>
      </c>
      <c r="J200" s="46">
        <v>0.21986239579431799</v>
      </c>
    </row>
    <row r="201" spans="1:10" ht="11.25" customHeight="1" x14ac:dyDescent="0.2">
      <c r="A201" s="49" t="s">
        <v>23</v>
      </c>
      <c r="B201" s="45">
        <v>0</v>
      </c>
      <c r="C201" s="45">
        <v>0</v>
      </c>
      <c r="D201" s="45">
        <v>330628.25448</v>
      </c>
      <c r="E201" s="45">
        <v>424994.63579772227</v>
      </c>
      <c r="F201" s="45">
        <v>78301.720199999996</v>
      </c>
      <c r="G201" s="45">
        <v>73843.662827532404</v>
      </c>
      <c r="H201" s="46">
        <v>0.28541535709383981</v>
      </c>
      <c r="I201" s="46">
        <v>-5.6934347816123387E-2</v>
      </c>
      <c r="J201" s="46">
        <v>0.21986239579431799</v>
      </c>
    </row>
    <row r="202" spans="1:10" ht="11.25" customHeight="1" x14ac:dyDescent="0.2">
      <c r="A202" s="50" t="s">
        <v>42</v>
      </c>
      <c r="B202" s="45">
        <v>0</v>
      </c>
      <c r="C202" s="45">
        <v>0</v>
      </c>
      <c r="D202" s="45">
        <v>330628.25448</v>
      </c>
      <c r="E202" s="45">
        <v>424994.63579772227</v>
      </c>
      <c r="F202" s="45">
        <v>78301.720199999996</v>
      </c>
      <c r="G202" s="45">
        <v>73843.662827532404</v>
      </c>
      <c r="H202" s="46">
        <v>0.28541535709383981</v>
      </c>
      <c r="I202" s="46">
        <v>-5.6934347816123387E-2</v>
      </c>
      <c r="J202" s="46">
        <v>0.21986239579431799</v>
      </c>
    </row>
    <row r="203" spans="1:10" ht="11.25" customHeight="1" x14ac:dyDescent="0.2">
      <c r="A203" s="51" t="s">
        <v>25</v>
      </c>
      <c r="B203" s="45">
        <v>0</v>
      </c>
      <c r="C203" s="45">
        <v>0</v>
      </c>
      <c r="D203" s="45">
        <v>330628.25448</v>
      </c>
      <c r="E203" s="45">
        <v>424994.63579772227</v>
      </c>
      <c r="F203" s="45">
        <v>78301.720199999996</v>
      </c>
      <c r="G203" s="45">
        <v>73843.662827532404</v>
      </c>
      <c r="H203" s="46">
        <v>0.28541535709383981</v>
      </c>
      <c r="I203" s="46">
        <v>-5.6934347816123387E-2</v>
      </c>
      <c r="J203" s="46">
        <v>0.21986239579431799</v>
      </c>
    </row>
    <row r="204" spans="1:10" ht="11.25" customHeight="1" x14ac:dyDescent="0.2">
      <c r="A204" s="52" t="s">
        <v>25</v>
      </c>
      <c r="B204" s="45">
        <v>0</v>
      </c>
      <c r="C204" s="45">
        <v>0</v>
      </c>
      <c r="D204" s="45">
        <v>330628.25448</v>
      </c>
      <c r="E204" s="45">
        <v>424994.63579772227</v>
      </c>
      <c r="F204" s="45">
        <v>78301.720199999996</v>
      </c>
      <c r="G204" s="45">
        <v>73843.662827532404</v>
      </c>
      <c r="H204" s="46">
        <v>0.28541535709383981</v>
      </c>
      <c r="I204" s="46">
        <v>-5.6934347816123387E-2</v>
      </c>
      <c r="J204" s="46">
        <v>0.21986239579431799</v>
      </c>
    </row>
    <row r="205" spans="1:10" ht="11.25" customHeight="1" x14ac:dyDescent="0.2">
      <c r="A205" s="53" t="s">
        <v>25</v>
      </c>
      <c r="B205" s="45">
        <v>0</v>
      </c>
      <c r="C205" s="45">
        <v>0</v>
      </c>
      <c r="D205" s="45">
        <v>330628.25448</v>
      </c>
      <c r="E205" s="45">
        <v>424994.63579772227</v>
      </c>
      <c r="F205" s="45">
        <v>78301.720199999996</v>
      </c>
      <c r="G205" s="45">
        <v>73843.662827532404</v>
      </c>
      <c r="H205" s="46">
        <v>0.28541535709383981</v>
      </c>
      <c r="I205" s="46">
        <v>-5.6934347816123387E-2</v>
      </c>
      <c r="J205" s="46">
        <v>0.21986239579431799</v>
      </c>
    </row>
    <row r="206" spans="1:10" ht="11.25" customHeight="1" x14ac:dyDescent="0.2">
      <c r="A206" s="54" t="s">
        <v>25</v>
      </c>
      <c r="B206" s="45">
        <v>0</v>
      </c>
      <c r="C206" s="45">
        <v>0</v>
      </c>
      <c r="D206" s="45">
        <v>330628.25448</v>
      </c>
      <c r="E206" s="45">
        <v>424994.63579772227</v>
      </c>
      <c r="F206" s="45">
        <v>78301.720199999996</v>
      </c>
      <c r="G206" s="45">
        <v>73843.662827532404</v>
      </c>
      <c r="H206" s="46">
        <v>0.28541535709383981</v>
      </c>
      <c r="I206" s="46">
        <v>-5.6934347816123387E-2</v>
      </c>
      <c r="J206" s="46">
        <v>0.21986239579431799</v>
      </c>
    </row>
    <row r="207" spans="1:10" ht="11.25" customHeight="1" x14ac:dyDescent="0.2">
      <c r="A207" s="55">
        <v>44378</v>
      </c>
      <c r="B207" s="45">
        <v>0</v>
      </c>
      <c r="C207" s="45">
        <v>0</v>
      </c>
      <c r="D207" s="45">
        <v>26563.004159999997</v>
      </c>
      <c r="E207" s="45">
        <v>34144.493477811557</v>
      </c>
      <c r="F207" s="45">
        <v>6290.8383999999996</v>
      </c>
      <c r="G207" s="45">
        <v>5932.6736184793726</v>
      </c>
      <c r="H207" s="46">
        <v>0.28541535709384003</v>
      </c>
      <c r="I207" s="46">
        <v>-5.693434781612372E-2</v>
      </c>
      <c r="J207" s="46">
        <v>0.21986239579431799</v>
      </c>
    </row>
    <row r="208" spans="1:10" ht="11.25" customHeight="1" x14ac:dyDescent="0.2">
      <c r="A208" s="55">
        <v>44409</v>
      </c>
      <c r="B208" s="45">
        <v>0</v>
      </c>
      <c r="C208" s="45">
        <v>0</v>
      </c>
      <c r="D208" s="45">
        <v>29159.130119999998</v>
      </c>
      <c r="E208" s="45">
        <v>37481.59365574555</v>
      </c>
      <c r="F208" s="45">
        <v>6905.6713</v>
      </c>
      <c r="G208" s="45">
        <v>6512.5014083019769</v>
      </c>
      <c r="H208" s="46">
        <v>0.28541535709384025</v>
      </c>
      <c r="I208" s="46">
        <v>-5.693434781612372E-2</v>
      </c>
      <c r="J208" s="46">
        <v>0.21986239579431821</v>
      </c>
    </row>
    <row r="209" spans="1:10" ht="11.25" customHeight="1" x14ac:dyDescent="0.2">
      <c r="A209" s="55">
        <v>44440</v>
      </c>
      <c r="B209" s="45">
        <v>0</v>
      </c>
      <c r="C209" s="45">
        <v>0</v>
      </c>
      <c r="D209" s="45">
        <v>27564.115019999997</v>
      </c>
      <c r="E209" s="45">
        <v>35431.336751408984</v>
      </c>
      <c r="F209" s="45">
        <v>6527.9285499999996</v>
      </c>
      <c r="G209" s="45">
        <v>6156.2651954154953</v>
      </c>
      <c r="H209" s="46">
        <v>0.28541535709384025</v>
      </c>
      <c r="I209" s="46">
        <v>-5.693434781612372E-2</v>
      </c>
      <c r="J209" s="46">
        <v>0.21986239579431821</v>
      </c>
    </row>
    <row r="210" spans="1:10" ht="11.25" customHeight="1" x14ac:dyDescent="0.2">
      <c r="A210" s="55">
        <v>44470</v>
      </c>
      <c r="B210" s="45">
        <v>0</v>
      </c>
      <c r="C210" s="45">
        <v>0</v>
      </c>
      <c r="D210" s="45">
        <v>27733.171919999997</v>
      </c>
      <c r="E210" s="45">
        <v>35648.645086891658</v>
      </c>
      <c r="F210" s="45">
        <v>6567.965799999999</v>
      </c>
      <c r="G210" s="45">
        <v>6194.0229506983942</v>
      </c>
      <c r="H210" s="46">
        <v>0.28541535709384025</v>
      </c>
      <c r="I210" s="46">
        <v>-5.6934347816123609E-2</v>
      </c>
      <c r="J210" s="46">
        <v>0.21986239579431821</v>
      </c>
    </row>
    <row r="211" spans="1:10" ht="11.25" customHeight="1" x14ac:dyDescent="0.2">
      <c r="A211" s="55">
        <v>44501</v>
      </c>
      <c r="B211" s="45">
        <v>0</v>
      </c>
      <c r="C211" s="45">
        <v>0</v>
      </c>
      <c r="D211" s="45">
        <v>26289.082979999999</v>
      </c>
      <c r="E211" s="45">
        <v>33792.390986406295</v>
      </c>
      <c r="F211" s="45">
        <v>6225.9664499999999</v>
      </c>
      <c r="G211" s="45">
        <v>5871.4951106441831</v>
      </c>
      <c r="H211" s="46">
        <v>0.28541535709384025</v>
      </c>
      <c r="I211" s="46">
        <v>-5.693434781612372E-2</v>
      </c>
      <c r="J211" s="46">
        <v>0.21986239579431799</v>
      </c>
    </row>
    <row r="212" spans="1:10" ht="11.25" customHeight="1" x14ac:dyDescent="0.2">
      <c r="A212" s="55">
        <v>44531</v>
      </c>
      <c r="B212" s="45">
        <v>0</v>
      </c>
      <c r="C212" s="45">
        <v>0</v>
      </c>
      <c r="D212" s="45">
        <v>27886.548179999998</v>
      </c>
      <c r="E212" s="45">
        <v>35845.797286909277</v>
      </c>
      <c r="F212" s="45">
        <v>6604.2894499999993</v>
      </c>
      <c r="G212" s="45">
        <v>6228.2785373753431</v>
      </c>
      <c r="H212" s="46">
        <v>0.28541535709384025</v>
      </c>
      <c r="I212" s="46">
        <v>-5.693434781612372E-2</v>
      </c>
      <c r="J212" s="46">
        <v>0.21986239579431821</v>
      </c>
    </row>
    <row r="213" spans="1:10" ht="11.25" customHeight="1" x14ac:dyDescent="0.2">
      <c r="A213" s="55">
        <v>44562</v>
      </c>
      <c r="B213" s="45">
        <v>0</v>
      </c>
      <c r="C213" s="45">
        <v>0</v>
      </c>
      <c r="D213" s="45">
        <v>28927.840679999998</v>
      </c>
      <c r="E213" s="45">
        <v>37184.290657635916</v>
      </c>
      <c r="F213" s="45">
        <v>6850.8957</v>
      </c>
      <c r="G213" s="45">
        <v>6460.8444213642133</v>
      </c>
      <c r="H213" s="46">
        <v>0.28541535709384025</v>
      </c>
      <c r="I213" s="46">
        <v>-5.693434781612372E-2</v>
      </c>
      <c r="J213" s="46">
        <v>0.21986239579431843</v>
      </c>
    </row>
    <row r="214" spans="1:10" ht="11.25" customHeight="1" x14ac:dyDescent="0.2">
      <c r="A214" s="55">
        <v>44593</v>
      </c>
      <c r="B214" s="45">
        <v>0</v>
      </c>
      <c r="C214" s="45">
        <v>0</v>
      </c>
      <c r="D214" s="45">
        <v>30241.584299999999</v>
      </c>
      <c r="E214" s="45">
        <v>38872.996882067971</v>
      </c>
      <c r="F214" s="45">
        <v>7162.0257499999998</v>
      </c>
      <c r="G214" s="45">
        <v>6754.2604848814663</v>
      </c>
      <c r="H214" s="46">
        <v>0.28541535709384025</v>
      </c>
      <c r="I214" s="46">
        <v>-5.6934347816123609E-2</v>
      </c>
      <c r="J214" s="46">
        <v>0.21986239579431843</v>
      </c>
    </row>
    <row r="215" spans="1:10" ht="11.25" customHeight="1" x14ac:dyDescent="0.2">
      <c r="A215" s="55">
        <v>44621</v>
      </c>
      <c r="B215" s="45">
        <v>0</v>
      </c>
      <c r="C215" s="45">
        <v>0</v>
      </c>
      <c r="D215" s="45">
        <v>26215.579979999999</v>
      </c>
      <c r="E215" s="45">
        <v>33697.909101413832</v>
      </c>
      <c r="F215" s="45">
        <v>6208.5589500000006</v>
      </c>
      <c r="G215" s="45">
        <v>5855.0786953037923</v>
      </c>
      <c r="H215" s="46">
        <v>0.28541535709384047</v>
      </c>
      <c r="I215" s="46">
        <v>-5.693434781612372E-2</v>
      </c>
      <c r="J215" s="46">
        <v>0.21986239579431821</v>
      </c>
    </row>
    <row r="216" spans="1:10" ht="11.25" customHeight="1" x14ac:dyDescent="0.2">
      <c r="A216" s="55">
        <v>44652</v>
      </c>
      <c r="B216" s="45">
        <v>0</v>
      </c>
      <c r="C216" s="45">
        <v>0</v>
      </c>
      <c r="D216" s="45">
        <v>26414.038080000002</v>
      </c>
      <c r="E216" s="45">
        <v>33953.010190893496</v>
      </c>
      <c r="F216" s="45">
        <v>6255.5591999999997</v>
      </c>
      <c r="G216" s="45">
        <v>5899.4030167228475</v>
      </c>
      <c r="H216" s="46">
        <v>0.28541535709384025</v>
      </c>
      <c r="I216" s="46">
        <v>-5.6934347816123609E-2</v>
      </c>
      <c r="J216" s="46">
        <v>0.21986239579431821</v>
      </c>
    </row>
    <row r="217" spans="1:10" ht="11.25" customHeight="1" x14ac:dyDescent="0.2">
      <c r="A217" s="55">
        <v>44682</v>
      </c>
      <c r="B217" s="45">
        <v>0</v>
      </c>
      <c r="C217" s="45">
        <v>0</v>
      </c>
      <c r="D217" s="45">
        <v>26762.442299999999</v>
      </c>
      <c r="E217" s="45">
        <v>34400.854325757791</v>
      </c>
      <c r="F217" s="45">
        <v>6338.0707499999999</v>
      </c>
      <c r="G217" s="45">
        <v>5977.2168254362996</v>
      </c>
      <c r="H217" s="46">
        <v>0.28541535709384025</v>
      </c>
      <c r="I217" s="46">
        <v>-5.693434781612372E-2</v>
      </c>
      <c r="J217" s="46">
        <v>0.21986239579431799</v>
      </c>
    </row>
    <row r="218" spans="1:10" ht="11.25" customHeight="1" x14ac:dyDescent="0.2">
      <c r="A218" s="55">
        <v>44713</v>
      </c>
      <c r="B218" s="45">
        <v>0</v>
      </c>
      <c r="C218" s="45">
        <v>0</v>
      </c>
      <c r="D218" s="45">
        <v>26871.716759999999</v>
      </c>
      <c r="E218" s="45">
        <v>34541.31739477993</v>
      </c>
      <c r="F218" s="45">
        <v>6363.9499000000005</v>
      </c>
      <c r="G218" s="45">
        <v>6001.622562909015</v>
      </c>
      <c r="H218" s="46">
        <v>0.28541535709384025</v>
      </c>
      <c r="I218" s="46">
        <v>-5.693434781612372E-2</v>
      </c>
      <c r="J218" s="46">
        <v>0.21986239579431799</v>
      </c>
    </row>
    <row r="219" spans="1:10" ht="11.25" customHeight="1" x14ac:dyDescent="0.2">
      <c r="A219" s="48" t="s">
        <v>37</v>
      </c>
      <c r="B219" s="45">
        <v>0</v>
      </c>
      <c r="C219" s="45">
        <v>0</v>
      </c>
      <c r="D219" s="45">
        <v>812480.78928000003</v>
      </c>
      <c r="E219" s="45">
        <v>977714.62792504171</v>
      </c>
      <c r="F219" s="45">
        <v>192410.46204000004</v>
      </c>
      <c r="G219" s="45">
        <v>169879.86022582644</v>
      </c>
      <c r="H219" s="46">
        <v>0.20336953294793303</v>
      </c>
      <c r="I219" s="46">
        <v>-0.11709655273053565</v>
      </c>
      <c r="J219" s="46">
        <v>0.14200863689818832</v>
      </c>
    </row>
    <row r="220" spans="1:10" ht="11.25" customHeight="1" x14ac:dyDescent="0.2">
      <c r="A220" s="49" t="s">
        <v>23</v>
      </c>
      <c r="B220" s="45">
        <v>0</v>
      </c>
      <c r="C220" s="45">
        <v>0</v>
      </c>
      <c r="D220" s="45">
        <v>812480.78928000003</v>
      </c>
      <c r="E220" s="45">
        <v>977714.62792504171</v>
      </c>
      <c r="F220" s="45">
        <v>192410.46204000004</v>
      </c>
      <c r="G220" s="45">
        <v>169879.86022582644</v>
      </c>
      <c r="H220" s="46">
        <v>0.20336953294793303</v>
      </c>
      <c r="I220" s="46">
        <v>-0.11709655273053565</v>
      </c>
      <c r="J220" s="46">
        <v>0.14200863689818832</v>
      </c>
    </row>
    <row r="221" spans="1:10" ht="11.25" customHeight="1" x14ac:dyDescent="0.2">
      <c r="A221" s="50" t="s">
        <v>38</v>
      </c>
      <c r="B221" s="45">
        <v>0</v>
      </c>
      <c r="C221" s="45">
        <v>0</v>
      </c>
      <c r="D221" s="45">
        <v>705950.61520000012</v>
      </c>
      <c r="E221" s="45">
        <v>849519.46209753025</v>
      </c>
      <c r="F221" s="45">
        <v>167182.14860000001</v>
      </c>
      <c r="G221" s="45">
        <v>147605.69532085591</v>
      </c>
      <c r="H221" s="46">
        <v>0.20336953294793325</v>
      </c>
      <c r="I221" s="46">
        <v>-0.11709655273053532</v>
      </c>
      <c r="J221" s="46">
        <v>0.14200863689818854</v>
      </c>
    </row>
    <row r="222" spans="1:10" ht="11.25" customHeight="1" x14ac:dyDescent="0.2">
      <c r="A222" s="51" t="s">
        <v>25</v>
      </c>
      <c r="B222" s="45">
        <v>0</v>
      </c>
      <c r="C222" s="45">
        <v>0</v>
      </c>
      <c r="D222" s="45">
        <v>705950.61520000012</v>
      </c>
      <c r="E222" s="45">
        <v>849519.46209753025</v>
      </c>
      <c r="F222" s="45">
        <v>167182.14860000001</v>
      </c>
      <c r="G222" s="45">
        <v>147605.69532085591</v>
      </c>
      <c r="H222" s="46">
        <v>0.20336953294793325</v>
      </c>
      <c r="I222" s="46">
        <v>-0.11709655273053532</v>
      </c>
      <c r="J222" s="46">
        <v>0.14200863689818854</v>
      </c>
    </row>
    <row r="223" spans="1:10" ht="11.25" customHeight="1" x14ac:dyDescent="0.2">
      <c r="A223" s="52" t="s">
        <v>25</v>
      </c>
      <c r="B223" s="45">
        <v>0</v>
      </c>
      <c r="C223" s="45">
        <v>0</v>
      </c>
      <c r="D223" s="45">
        <v>705950.61520000012</v>
      </c>
      <c r="E223" s="45">
        <v>849519.46209753025</v>
      </c>
      <c r="F223" s="45">
        <v>167182.14860000001</v>
      </c>
      <c r="G223" s="45">
        <v>147605.69532085591</v>
      </c>
      <c r="H223" s="46">
        <v>0.20336953294793325</v>
      </c>
      <c r="I223" s="46">
        <v>-0.11709655273053532</v>
      </c>
      <c r="J223" s="46">
        <v>0.14200863689818854</v>
      </c>
    </row>
    <row r="224" spans="1:10" ht="11.25" customHeight="1" x14ac:dyDescent="0.2">
      <c r="A224" s="53" t="s">
        <v>25</v>
      </c>
      <c r="B224" s="45">
        <v>0</v>
      </c>
      <c r="C224" s="45">
        <v>0</v>
      </c>
      <c r="D224" s="45">
        <v>705950.61520000012</v>
      </c>
      <c r="E224" s="45">
        <v>849519.46209753025</v>
      </c>
      <c r="F224" s="45">
        <v>167182.14860000001</v>
      </c>
      <c r="G224" s="45">
        <v>147605.69532085591</v>
      </c>
      <c r="H224" s="46">
        <v>0.20336953294793325</v>
      </c>
      <c r="I224" s="46">
        <v>-0.11709655273053532</v>
      </c>
      <c r="J224" s="46">
        <v>0.14200863689818854</v>
      </c>
    </row>
    <row r="225" spans="1:10" ht="11.25" customHeight="1" x14ac:dyDescent="0.2">
      <c r="A225" s="54" t="s">
        <v>25</v>
      </c>
      <c r="B225" s="45">
        <v>0</v>
      </c>
      <c r="C225" s="45">
        <v>0</v>
      </c>
      <c r="D225" s="45">
        <v>705950.61520000012</v>
      </c>
      <c r="E225" s="45">
        <v>849519.46209753025</v>
      </c>
      <c r="F225" s="45">
        <v>167182.14860000001</v>
      </c>
      <c r="G225" s="45">
        <v>147605.69532085591</v>
      </c>
      <c r="H225" s="46">
        <v>0.20336953294793325</v>
      </c>
      <c r="I225" s="46">
        <v>-0.11709655273053532</v>
      </c>
      <c r="J225" s="46">
        <v>0.14200863689818854</v>
      </c>
    </row>
    <row r="226" spans="1:10" ht="11.25" customHeight="1" x14ac:dyDescent="0.2">
      <c r="A226" s="55">
        <v>44378</v>
      </c>
      <c r="B226" s="45">
        <v>0</v>
      </c>
      <c r="C226" s="45">
        <v>0</v>
      </c>
      <c r="D226" s="45">
        <v>55542.562640000004</v>
      </c>
      <c r="E226" s="45">
        <v>66838.227662828125</v>
      </c>
      <c r="F226" s="45">
        <v>13153.505020000001</v>
      </c>
      <c r="G226" s="45">
        <v>11613.274925834208</v>
      </c>
      <c r="H226" s="46">
        <v>0.20336953294793325</v>
      </c>
      <c r="I226" s="46">
        <v>-0.11709655273053543</v>
      </c>
      <c r="J226" s="46">
        <v>0.14200863689818854</v>
      </c>
    </row>
    <row r="227" spans="1:10" ht="11.25" customHeight="1" x14ac:dyDescent="0.2">
      <c r="A227" s="55">
        <v>44409</v>
      </c>
      <c r="B227" s="45">
        <v>0</v>
      </c>
      <c r="C227" s="45">
        <v>0</v>
      </c>
      <c r="D227" s="45">
        <v>68294.198640000002</v>
      </c>
      <c r="E227" s="45">
        <v>82183.157920470185</v>
      </c>
      <c r="F227" s="45">
        <v>16173.328020000001</v>
      </c>
      <c r="G227" s="45">
        <v>14279.487062677827</v>
      </c>
      <c r="H227" s="46">
        <v>0.20336953294793325</v>
      </c>
      <c r="I227" s="46">
        <v>-0.11709655273053532</v>
      </c>
      <c r="J227" s="46">
        <v>0.14200863689818854</v>
      </c>
    </row>
    <row r="228" spans="1:10" ht="11.25" customHeight="1" x14ac:dyDescent="0.2">
      <c r="A228" s="55">
        <v>44440</v>
      </c>
      <c r="B228" s="45">
        <v>0</v>
      </c>
      <c r="C228" s="45">
        <v>0</v>
      </c>
      <c r="D228" s="45">
        <v>74883.286360000013</v>
      </c>
      <c r="E228" s="45">
        <v>90112.265332639552</v>
      </c>
      <c r="F228" s="45">
        <v>17733.745730000002</v>
      </c>
      <c r="G228" s="45">
        <v>15657.185238017151</v>
      </c>
      <c r="H228" s="46">
        <v>0.20336953294793325</v>
      </c>
      <c r="I228" s="46">
        <v>-0.11709655273053532</v>
      </c>
      <c r="J228" s="46">
        <v>0.14200863689818832</v>
      </c>
    </row>
    <row r="229" spans="1:10" ht="11.25" customHeight="1" x14ac:dyDescent="0.2">
      <c r="A229" s="55">
        <v>44470</v>
      </c>
      <c r="B229" s="45">
        <v>0</v>
      </c>
      <c r="C229" s="45">
        <v>0</v>
      </c>
      <c r="D229" s="45">
        <v>71347.909199999995</v>
      </c>
      <c r="E229" s="45">
        <v>85857.900170815556</v>
      </c>
      <c r="F229" s="45">
        <v>16896.503100000002</v>
      </c>
      <c r="G229" s="45">
        <v>14917.980833789197</v>
      </c>
      <c r="H229" s="46">
        <v>0.20336953294793347</v>
      </c>
      <c r="I229" s="46">
        <v>-0.11709655273053532</v>
      </c>
      <c r="J229" s="46">
        <v>0.14200863689818877</v>
      </c>
    </row>
    <row r="230" spans="1:10" ht="11.25" customHeight="1" x14ac:dyDescent="0.2">
      <c r="A230" s="55">
        <v>44501</v>
      </c>
      <c r="B230" s="45">
        <v>0</v>
      </c>
      <c r="C230" s="45">
        <v>0</v>
      </c>
      <c r="D230" s="45">
        <v>53816.915480000003</v>
      </c>
      <c r="E230" s="45">
        <v>64761.63644586601</v>
      </c>
      <c r="F230" s="45">
        <v>12744.839890000001</v>
      </c>
      <c r="G230" s="45">
        <v>11252.463073778386</v>
      </c>
      <c r="H230" s="46">
        <v>0.20336953294793347</v>
      </c>
      <c r="I230" s="46">
        <v>-0.11709655273053532</v>
      </c>
      <c r="J230" s="46">
        <v>0.14200863689818877</v>
      </c>
    </row>
    <row r="231" spans="1:10" ht="11.25" customHeight="1" x14ac:dyDescent="0.2">
      <c r="A231" s="55">
        <v>44531</v>
      </c>
      <c r="B231" s="45">
        <v>0</v>
      </c>
      <c r="C231" s="45">
        <v>0</v>
      </c>
      <c r="D231" s="45">
        <v>52037.811679999999</v>
      </c>
      <c r="E231" s="45">
        <v>62620.717136994106</v>
      </c>
      <c r="F231" s="45">
        <v>12323.515240000001</v>
      </c>
      <c r="G231" s="45">
        <v>10880.474087873785</v>
      </c>
      <c r="H231" s="46">
        <v>0.20336953294793325</v>
      </c>
      <c r="I231" s="46">
        <v>-0.11709655273053532</v>
      </c>
      <c r="J231" s="46">
        <v>0.14200863689818854</v>
      </c>
    </row>
    <row r="232" spans="1:10" ht="11.25" customHeight="1" x14ac:dyDescent="0.2">
      <c r="A232" s="55">
        <v>44562</v>
      </c>
      <c r="B232" s="45">
        <v>0</v>
      </c>
      <c r="C232" s="45">
        <v>0</v>
      </c>
      <c r="D232" s="45">
        <v>48877.744680000003</v>
      </c>
      <c r="E232" s="45">
        <v>58817.988787119932</v>
      </c>
      <c r="F232" s="45">
        <v>11575.152990000001</v>
      </c>
      <c r="G232" s="45">
        <v>10219.742477542452</v>
      </c>
      <c r="H232" s="46">
        <v>0.20336953294793325</v>
      </c>
      <c r="I232" s="46">
        <v>-0.11709655273053532</v>
      </c>
      <c r="J232" s="46">
        <v>0.14200863689818832</v>
      </c>
    </row>
    <row r="233" spans="1:10" ht="11.25" customHeight="1" x14ac:dyDescent="0.2">
      <c r="A233" s="55">
        <v>44593</v>
      </c>
      <c r="B233" s="45">
        <v>0</v>
      </c>
      <c r="C233" s="45">
        <v>0</v>
      </c>
      <c r="D233" s="45">
        <v>55190.082920000001</v>
      </c>
      <c r="E233" s="45">
        <v>66414.064306798115</v>
      </c>
      <c r="F233" s="45">
        <v>13070.03131</v>
      </c>
      <c r="G233" s="45">
        <v>11539.575699518839</v>
      </c>
      <c r="H233" s="46">
        <v>0.20336953294793325</v>
      </c>
      <c r="I233" s="46">
        <v>-0.11709655273053521</v>
      </c>
      <c r="J233" s="46">
        <v>0.14200863689818854</v>
      </c>
    </row>
    <row r="234" spans="1:10" ht="11.25" customHeight="1" x14ac:dyDescent="0.2">
      <c r="A234" s="55">
        <v>44621</v>
      </c>
      <c r="B234" s="45">
        <v>0</v>
      </c>
      <c r="C234" s="45">
        <v>0</v>
      </c>
      <c r="D234" s="45">
        <v>58617.433120000002</v>
      </c>
      <c r="E234" s="45">
        <v>70538.433116221117</v>
      </c>
      <c r="F234" s="45">
        <v>13881.69116</v>
      </c>
      <c r="G234" s="45">
        <v>12256.192979094054</v>
      </c>
      <c r="H234" s="46">
        <v>0.20336953294793325</v>
      </c>
      <c r="I234" s="46">
        <v>-0.11709655273053532</v>
      </c>
      <c r="J234" s="46">
        <v>0.14200863689818854</v>
      </c>
    </row>
    <row r="235" spans="1:10" ht="11.25" customHeight="1" x14ac:dyDescent="0.2">
      <c r="A235" s="55">
        <v>44652</v>
      </c>
      <c r="B235" s="45">
        <v>0</v>
      </c>
      <c r="C235" s="45">
        <v>0</v>
      </c>
      <c r="D235" s="45">
        <v>56789.884240000007</v>
      </c>
      <c r="E235" s="45">
        <v>68339.216474055997</v>
      </c>
      <c r="F235" s="45">
        <v>13448.893820000001</v>
      </c>
      <c r="G235" s="45">
        <v>11874.074715639001</v>
      </c>
      <c r="H235" s="46">
        <v>0.20336953294793303</v>
      </c>
      <c r="I235" s="46">
        <v>-0.11709655273053532</v>
      </c>
      <c r="J235" s="46">
        <v>0.14200863689818832</v>
      </c>
    </row>
    <row r="236" spans="1:10" ht="11.25" customHeight="1" x14ac:dyDescent="0.2">
      <c r="A236" s="55">
        <v>44682</v>
      </c>
      <c r="B236" s="45">
        <v>0</v>
      </c>
      <c r="C236" s="45">
        <v>0</v>
      </c>
      <c r="D236" s="45">
        <v>57069.974760000005</v>
      </c>
      <c r="E236" s="45">
        <v>68676.268872291548</v>
      </c>
      <c r="F236" s="45">
        <v>13515.22443</v>
      </c>
      <c r="G236" s="45">
        <v>11932.638239867487</v>
      </c>
      <c r="H236" s="46">
        <v>0.20336953294793325</v>
      </c>
      <c r="I236" s="46">
        <v>-0.11709655273053521</v>
      </c>
      <c r="J236" s="46">
        <v>0.14200863689818877</v>
      </c>
    </row>
    <row r="237" spans="1:10" ht="11.25" customHeight="1" x14ac:dyDescent="0.2">
      <c r="A237" s="55">
        <v>44713</v>
      </c>
      <c r="B237" s="45">
        <v>0</v>
      </c>
      <c r="C237" s="45">
        <v>0</v>
      </c>
      <c r="D237" s="45">
        <v>53482.811480000004</v>
      </c>
      <c r="E237" s="45">
        <v>64359.585871429968</v>
      </c>
      <c r="F237" s="45">
        <v>12665.71789</v>
      </c>
      <c r="G237" s="45">
        <v>11182.605987223531</v>
      </c>
      <c r="H237" s="46">
        <v>0.20336953294793325</v>
      </c>
      <c r="I237" s="46">
        <v>-0.11709655273053532</v>
      </c>
      <c r="J237" s="46">
        <v>0.14200863689818877</v>
      </c>
    </row>
    <row r="238" spans="1:10" ht="11.25" customHeight="1" x14ac:dyDescent="0.2">
      <c r="A238" s="50" t="s">
        <v>43</v>
      </c>
      <c r="B238" s="45">
        <v>0</v>
      </c>
      <c r="C238" s="45">
        <v>0</v>
      </c>
      <c r="D238" s="45">
        <v>62405.058799999999</v>
      </c>
      <c r="E238" s="45">
        <v>75096.346461744324</v>
      </c>
      <c r="F238" s="45">
        <v>14778.670899999999</v>
      </c>
      <c r="G238" s="45">
        <v>13048.139483670922</v>
      </c>
      <c r="H238" s="46">
        <v>0.20336953294793347</v>
      </c>
      <c r="I238" s="46">
        <v>-0.11709655273053521</v>
      </c>
      <c r="J238" s="46">
        <v>0.14200863689818877</v>
      </c>
    </row>
    <row r="239" spans="1:10" ht="11.25" customHeight="1" x14ac:dyDescent="0.2">
      <c r="A239" s="51" t="s">
        <v>25</v>
      </c>
      <c r="B239" s="45">
        <v>0</v>
      </c>
      <c r="C239" s="45">
        <v>0</v>
      </c>
      <c r="D239" s="45">
        <v>62405.058799999999</v>
      </c>
      <c r="E239" s="45">
        <v>75096.346461744324</v>
      </c>
      <c r="F239" s="45">
        <v>14778.670899999999</v>
      </c>
      <c r="G239" s="45">
        <v>13048.139483670922</v>
      </c>
      <c r="H239" s="46">
        <v>0.20336953294793347</v>
      </c>
      <c r="I239" s="46">
        <v>-0.11709655273053521</v>
      </c>
      <c r="J239" s="46">
        <v>0.14200863689818877</v>
      </c>
    </row>
    <row r="240" spans="1:10" ht="11.25" customHeight="1" x14ac:dyDescent="0.2">
      <c r="A240" s="52" t="s">
        <v>25</v>
      </c>
      <c r="B240" s="45">
        <v>0</v>
      </c>
      <c r="C240" s="45">
        <v>0</v>
      </c>
      <c r="D240" s="45">
        <v>62405.058799999999</v>
      </c>
      <c r="E240" s="45">
        <v>75096.346461744324</v>
      </c>
      <c r="F240" s="45">
        <v>14778.670899999999</v>
      </c>
      <c r="G240" s="45">
        <v>13048.139483670922</v>
      </c>
      <c r="H240" s="46">
        <v>0.20336953294793347</v>
      </c>
      <c r="I240" s="46">
        <v>-0.11709655273053521</v>
      </c>
      <c r="J240" s="46">
        <v>0.14200863689818877</v>
      </c>
    </row>
    <row r="241" spans="1:10" ht="11.25" customHeight="1" x14ac:dyDescent="0.2">
      <c r="A241" s="53" t="s">
        <v>25</v>
      </c>
      <c r="B241" s="45">
        <v>0</v>
      </c>
      <c r="C241" s="45">
        <v>0</v>
      </c>
      <c r="D241" s="45">
        <v>62405.058799999999</v>
      </c>
      <c r="E241" s="45">
        <v>75096.346461744324</v>
      </c>
      <c r="F241" s="45">
        <v>14778.670899999999</v>
      </c>
      <c r="G241" s="45">
        <v>13048.139483670922</v>
      </c>
      <c r="H241" s="46">
        <v>0.20336953294793347</v>
      </c>
      <c r="I241" s="46">
        <v>-0.11709655273053521</v>
      </c>
      <c r="J241" s="46">
        <v>0.14200863689818877</v>
      </c>
    </row>
    <row r="242" spans="1:10" ht="11.25" customHeight="1" x14ac:dyDescent="0.2">
      <c r="A242" s="54" t="s">
        <v>25</v>
      </c>
      <c r="B242" s="45">
        <v>0</v>
      </c>
      <c r="C242" s="45">
        <v>0</v>
      </c>
      <c r="D242" s="45">
        <v>62405.058799999999</v>
      </c>
      <c r="E242" s="45">
        <v>75096.346461744324</v>
      </c>
      <c r="F242" s="45">
        <v>14778.670899999999</v>
      </c>
      <c r="G242" s="45">
        <v>13048.139483670922</v>
      </c>
      <c r="H242" s="46">
        <v>0.20336953294793347</v>
      </c>
      <c r="I242" s="46">
        <v>-0.11709655273053521</v>
      </c>
      <c r="J242" s="46">
        <v>0.14200863689818877</v>
      </c>
    </row>
    <row r="243" spans="1:10" ht="11.25" customHeight="1" x14ac:dyDescent="0.2">
      <c r="A243" s="55">
        <v>44378</v>
      </c>
      <c r="B243" s="45">
        <v>0</v>
      </c>
      <c r="C243" s="45">
        <v>0</v>
      </c>
      <c r="D243" s="45">
        <v>2817.6104</v>
      </c>
      <c r="E243" s="45">
        <v>3390.6265110772392</v>
      </c>
      <c r="F243" s="45">
        <v>667.26220000000001</v>
      </c>
      <c r="G243" s="45">
        <v>589.12809661260701</v>
      </c>
      <c r="H243" s="46">
        <v>0.20336953294793325</v>
      </c>
      <c r="I243" s="46">
        <v>-0.11709655273053532</v>
      </c>
      <c r="J243" s="46">
        <v>0.14200863689818854</v>
      </c>
    </row>
    <row r="244" spans="1:10" ht="11.25" customHeight="1" x14ac:dyDescent="0.2">
      <c r="A244" s="55">
        <v>44409</v>
      </c>
      <c r="B244" s="45">
        <v>0</v>
      </c>
      <c r="C244" s="45">
        <v>0</v>
      </c>
      <c r="D244" s="45">
        <v>2909.489</v>
      </c>
      <c r="E244" s="45">
        <v>3501.1904190471496</v>
      </c>
      <c r="F244" s="45">
        <v>689.02075000000002</v>
      </c>
      <c r="G244" s="45">
        <v>608.33879541519195</v>
      </c>
      <c r="H244" s="46">
        <v>0.20336953294793325</v>
      </c>
      <c r="I244" s="46">
        <v>-0.11709655273053543</v>
      </c>
      <c r="J244" s="46">
        <v>0.14200863689818854</v>
      </c>
    </row>
    <row r="245" spans="1:10" ht="11.25" customHeight="1" x14ac:dyDescent="0.2">
      <c r="A245" s="55">
        <v>44440</v>
      </c>
      <c r="B245" s="45">
        <v>0</v>
      </c>
      <c r="C245" s="45">
        <v>0</v>
      </c>
      <c r="D245" s="45">
        <v>4226.4156000000003</v>
      </c>
      <c r="E245" s="45">
        <v>5085.9397666158593</v>
      </c>
      <c r="F245" s="45">
        <v>1000.8933000000001</v>
      </c>
      <c r="G245" s="45">
        <v>883.69214491891046</v>
      </c>
      <c r="H245" s="46">
        <v>0.20336953294793325</v>
      </c>
      <c r="I245" s="46">
        <v>-0.11709655273053543</v>
      </c>
      <c r="J245" s="46">
        <v>0.14200863689818854</v>
      </c>
    </row>
    <row r="246" spans="1:10" ht="11.25" customHeight="1" x14ac:dyDescent="0.2">
      <c r="A246" s="55">
        <v>44470</v>
      </c>
      <c r="B246" s="45">
        <v>0</v>
      </c>
      <c r="C246" s="45">
        <v>0</v>
      </c>
      <c r="D246" s="45">
        <v>3970.2692000000002</v>
      </c>
      <c r="E246" s="45">
        <v>4777.7009928815651</v>
      </c>
      <c r="F246" s="45">
        <v>940.23310000000004</v>
      </c>
      <c r="G246" s="45">
        <v>830.13504522685537</v>
      </c>
      <c r="H246" s="46">
        <v>0.20336953294793325</v>
      </c>
      <c r="I246" s="46">
        <v>-0.11709655273053532</v>
      </c>
      <c r="J246" s="46">
        <v>0.14200863689818854</v>
      </c>
    </row>
    <row r="247" spans="1:10" ht="11.25" customHeight="1" x14ac:dyDescent="0.2">
      <c r="A247" s="55">
        <v>44501</v>
      </c>
      <c r="B247" s="45">
        <v>0</v>
      </c>
      <c r="C247" s="45">
        <v>0</v>
      </c>
      <c r="D247" s="45">
        <v>8454.5017200000002</v>
      </c>
      <c r="E247" s="45">
        <v>10173.889786103899</v>
      </c>
      <c r="F247" s="45">
        <v>2002.1822099999999</v>
      </c>
      <c r="G247" s="45">
        <v>1767.7335752705953</v>
      </c>
      <c r="H247" s="46">
        <v>0.20336953294793325</v>
      </c>
      <c r="I247" s="46">
        <v>-0.11709655273053521</v>
      </c>
      <c r="J247" s="46">
        <v>0.14200863689818854</v>
      </c>
    </row>
    <row r="248" spans="1:10" ht="11.25" customHeight="1" x14ac:dyDescent="0.2">
      <c r="A248" s="55">
        <v>44531</v>
      </c>
      <c r="B248" s="45">
        <v>0</v>
      </c>
      <c r="C248" s="45">
        <v>0</v>
      </c>
      <c r="D248" s="45">
        <v>6851.3593600000004</v>
      </c>
      <c r="E248" s="45">
        <v>8244.7171131016512</v>
      </c>
      <c r="F248" s="45">
        <v>1622.5284800000002</v>
      </c>
      <c r="G248" s="45">
        <v>1432.5359882848848</v>
      </c>
      <c r="H248" s="46">
        <v>0.20336953294793325</v>
      </c>
      <c r="I248" s="46">
        <v>-0.11709655273053532</v>
      </c>
      <c r="J248" s="46">
        <v>0.14200863689818832</v>
      </c>
    </row>
    <row r="249" spans="1:10" ht="11.25" customHeight="1" x14ac:dyDescent="0.2">
      <c r="A249" s="55">
        <v>44562</v>
      </c>
      <c r="B249" s="45">
        <v>0</v>
      </c>
      <c r="C249" s="45">
        <v>0</v>
      </c>
      <c r="D249" s="45">
        <v>3903.4484000000002</v>
      </c>
      <c r="E249" s="45">
        <v>4697.2908779943573</v>
      </c>
      <c r="F249" s="45">
        <v>924.40869999999995</v>
      </c>
      <c r="G249" s="45">
        <v>816.16362791588438</v>
      </c>
      <c r="H249" s="46">
        <v>0.20336953294793325</v>
      </c>
      <c r="I249" s="46">
        <v>-0.11709655273053532</v>
      </c>
      <c r="J249" s="46">
        <v>0.14200863689818854</v>
      </c>
    </row>
    <row r="250" spans="1:10" ht="11.25" customHeight="1" x14ac:dyDescent="0.2">
      <c r="A250" s="55">
        <v>44593</v>
      </c>
      <c r="B250" s="45">
        <v>0</v>
      </c>
      <c r="C250" s="45">
        <v>0</v>
      </c>
      <c r="D250" s="45">
        <v>4140.1054000000004</v>
      </c>
      <c r="E250" s="45">
        <v>4982.0767015532165</v>
      </c>
      <c r="F250" s="45">
        <v>980.45344999999998</v>
      </c>
      <c r="G250" s="45">
        <v>865.64573089223973</v>
      </c>
      <c r="H250" s="46">
        <v>0.20336953294793325</v>
      </c>
      <c r="I250" s="46">
        <v>-0.11709655273053532</v>
      </c>
      <c r="J250" s="46">
        <v>0.14200863689818854</v>
      </c>
    </row>
    <row r="251" spans="1:10" ht="11.25" customHeight="1" x14ac:dyDescent="0.2">
      <c r="A251" s="55">
        <v>44621</v>
      </c>
      <c r="B251" s="45">
        <v>0</v>
      </c>
      <c r="C251" s="45">
        <v>0</v>
      </c>
      <c r="D251" s="45">
        <v>6160.320920000001</v>
      </c>
      <c r="E251" s="45">
        <v>7413.1425083097838</v>
      </c>
      <c r="F251" s="45">
        <v>1458.8778100000002</v>
      </c>
      <c r="G251" s="45">
        <v>1288.0482475939273</v>
      </c>
      <c r="H251" s="46">
        <v>0.20336953294793325</v>
      </c>
      <c r="I251" s="46">
        <v>-0.11709655273053532</v>
      </c>
      <c r="J251" s="46">
        <v>0.14200863689818877</v>
      </c>
    </row>
    <row r="252" spans="1:10" ht="11.25" customHeight="1" x14ac:dyDescent="0.2">
      <c r="A252" s="55">
        <v>44652</v>
      </c>
      <c r="B252" s="45">
        <v>0</v>
      </c>
      <c r="C252" s="45">
        <v>0</v>
      </c>
      <c r="D252" s="45">
        <v>6193.1744800000006</v>
      </c>
      <c r="E252" s="45">
        <v>7452.6774814626597</v>
      </c>
      <c r="F252" s="45">
        <v>1466.65814</v>
      </c>
      <c r="G252" s="45">
        <v>1294.9175277718211</v>
      </c>
      <c r="H252" s="46">
        <v>0.20336953294793325</v>
      </c>
      <c r="I252" s="46">
        <v>-0.11709655273053532</v>
      </c>
      <c r="J252" s="46">
        <v>0.14200863689818854</v>
      </c>
    </row>
    <row r="253" spans="1:10" ht="11.25" customHeight="1" x14ac:dyDescent="0.2">
      <c r="A253" s="55">
        <v>44682</v>
      </c>
      <c r="B253" s="45">
        <v>0</v>
      </c>
      <c r="C253" s="45">
        <v>0</v>
      </c>
      <c r="D253" s="45">
        <v>5777.2150000000001</v>
      </c>
      <c r="E253" s="45">
        <v>6952.1245162897949</v>
      </c>
      <c r="F253" s="45">
        <v>1368.1512500000001</v>
      </c>
      <c r="G253" s="45">
        <v>1207.9454550110272</v>
      </c>
      <c r="H253" s="46">
        <v>0.20336953294793325</v>
      </c>
      <c r="I253" s="46">
        <v>-0.11709655273053543</v>
      </c>
      <c r="J253" s="46">
        <v>0.14200863689818854</v>
      </c>
    </row>
    <row r="254" spans="1:10" ht="11.25" customHeight="1" x14ac:dyDescent="0.2">
      <c r="A254" s="55">
        <v>44713</v>
      </c>
      <c r="B254" s="45">
        <v>0</v>
      </c>
      <c r="C254" s="45">
        <v>0</v>
      </c>
      <c r="D254" s="45">
        <v>7001.1493200000004</v>
      </c>
      <c r="E254" s="45">
        <v>8424.9697873071418</v>
      </c>
      <c r="F254" s="45">
        <v>1658.0015100000001</v>
      </c>
      <c r="G254" s="45">
        <v>1463.855248756978</v>
      </c>
      <c r="H254" s="46">
        <v>0.20336953294793347</v>
      </c>
      <c r="I254" s="46">
        <v>-0.11709655273053521</v>
      </c>
      <c r="J254" s="46">
        <v>0.14200863689818877</v>
      </c>
    </row>
    <row r="255" spans="1:10" ht="11.25" customHeight="1" x14ac:dyDescent="0.2">
      <c r="A255" s="50" t="s">
        <v>47</v>
      </c>
      <c r="B255" s="45">
        <v>0</v>
      </c>
      <c r="C255" s="45">
        <v>0</v>
      </c>
      <c r="D255" s="45">
        <v>44125.115279999998</v>
      </c>
      <c r="E255" s="45">
        <v>53098.819365767318</v>
      </c>
      <c r="F255" s="45">
        <v>10449.642540000001</v>
      </c>
      <c r="G255" s="45">
        <v>9226.025421299646</v>
      </c>
      <c r="H255" s="46">
        <v>0.20336953294793347</v>
      </c>
      <c r="I255" s="46">
        <v>-0.11709655273053532</v>
      </c>
      <c r="J255" s="46">
        <v>0.14200863689818877</v>
      </c>
    </row>
    <row r="256" spans="1:10" ht="11.25" customHeight="1" x14ac:dyDescent="0.2">
      <c r="A256" s="51" t="s">
        <v>48</v>
      </c>
      <c r="B256" s="45">
        <v>0</v>
      </c>
      <c r="C256" s="45">
        <v>0</v>
      </c>
      <c r="D256" s="45">
        <v>44125.115279999998</v>
      </c>
      <c r="E256" s="45">
        <v>53098.819365767318</v>
      </c>
      <c r="F256" s="45">
        <v>10449.642540000001</v>
      </c>
      <c r="G256" s="45">
        <v>9226.025421299646</v>
      </c>
      <c r="H256" s="46">
        <v>0.20336953294793347</v>
      </c>
      <c r="I256" s="46">
        <v>-0.11709655273053532</v>
      </c>
      <c r="J256" s="46">
        <v>0.14200863689818877</v>
      </c>
    </row>
    <row r="257" spans="1:10" ht="11.25" customHeight="1" x14ac:dyDescent="0.2">
      <c r="A257" s="52" t="s">
        <v>25</v>
      </c>
      <c r="B257" s="45">
        <v>0</v>
      </c>
      <c r="C257" s="45">
        <v>0</v>
      </c>
      <c r="D257" s="45">
        <v>44125.115279999998</v>
      </c>
      <c r="E257" s="45">
        <v>53098.819365767318</v>
      </c>
      <c r="F257" s="45">
        <v>10449.642540000001</v>
      </c>
      <c r="G257" s="45">
        <v>9226.025421299646</v>
      </c>
      <c r="H257" s="46">
        <v>0.20336953294793347</v>
      </c>
      <c r="I257" s="46">
        <v>-0.11709655273053532</v>
      </c>
      <c r="J257" s="46">
        <v>0.14200863689818877</v>
      </c>
    </row>
    <row r="258" spans="1:10" ht="11.25" customHeight="1" x14ac:dyDescent="0.2">
      <c r="A258" s="53" t="s">
        <v>25</v>
      </c>
      <c r="B258" s="45">
        <v>0</v>
      </c>
      <c r="C258" s="45">
        <v>0</v>
      </c>
      <c r="D258" s="45">
        <v>44125.115279999998</v>
      </c>
      <c r="E258" s="45">
        <v>53098.819365767318</v>
      </c>
      <c r="F258" s="45">
        <v>10449.642540000001</v>
      </c>
      <c r="G258" s="45">
        <v>9226.025421299646</v>
      </c>
      <c r="H258" s="46">
        <v>0.20336953294793347</v>
      </c>
      <c r="I258" s="46">
        <v>-0.11709655273053532</v>
      </c>
      <c r="J258" s="46">
        <v>0.14200863689818877</v>
      </c>
    </row>
    <row r="259" spans="1:10" ht="11.25" customHeight="1" x14ac:dyDescent="0.2">
      <c r="A259" s="54" t="s">
        <v>25</v>
      </c>
      <c r="B259" s="45">
        <v>0</v>
      </c>
      <c r="C259" s="45">
        <v>0</v>
      </c>
      <c r="D259" s="45">
        <v>44125.115279999998</v>
      </c>
      <c r="E259" s="45">
        <v>53098.819365767318</v>
      </c>
      <c r="F259" s="45">
        <v>10449.642540000001</v>
      </c>
      <c r="G259" s="45">
        <v>9226.025421299646</v>
      </c>
      <c r="H259" s="46">
        <v>0.20336953294793347</v>
      </c>
      <c r="I259" s="46">
        <v>-0.11709655273053532</v>
      </c>
      <c r="J259" s="46">
        <v>0.14200863689818877</v>
      </c>
    </row>
    <row r="260" spans="1:10" ht="11.25" customHeight="1" x14ac:dyDescent="0.2">
      <c r="A260" s="55">
        <v>44378</v>
      </c>
      <c r="B260" s="45">
        <v>0</v>
      </c>
      <c r="C260" s="45">
        <v>0</v>
      </c>
      <c r="D260" s="45">
        <v>2852.6913200000004</v>
      </c>
      <c r="E260" s="45">
        <v>3432.8418213930236</v>
      </c>
      <c r="F260" s="45">
        <v>675.57001000000002</v>
      </c>
      <c r="G260" s="45">
        <v>596.46309070086681</v>
      </c>
      <c r="H260" s="46">
        <v>0.20336953294793325</v>
      </c>
      <c r="I260" s="46">
        <v>-0.11709655273053521</v>
      </c>
      <c r="J260" s="46">
        <v>0.14200863689818854</v>
      </c>
    </row>
    <row r="261" spans="1:10" ht="11.25" customHeight="1" x14ac:dyDescent="0.2">
      <c r="A261" s="55">
        <v>44409</v>
      </c>
      <c r="B261" s="45">
        <v>0</v>
      </c>
      <c r="C261" s="45">
        <v>0</v>
      </c>
      <c r="D261" s="45">
        <v>3428.4638799999998</v>
      </c>
      <c r="E261" s="45">
        <v>4125.7089780044589</v>
      </c>
      <c r="F261" s="45">
        <v>811.92358999999988</v>
      </c>
      <c r="G261" s="45">
        <v>716.85013653039937</v>
      </c>
      <c r="H261" s="46">
        <v>0.20336953294793325</v>
      </c>
      <c r="I261" s="46">
        <v>-0.11709655273053532</v>
      </c>
      <c r="J261" s="46">
        <v>0.14200863689818854</v>
      </c>
    </row>
    <row r="262" spans="1:10" ht="11.25" customHeight="1" x14ac:dyDescent="0.2">
      <c r="A262" s="55">
        <v>44440</v>
      </c>
      <c r="B262" s="45">
        <v>0</v>
      </c>
      <c r="C262" s="45">
        <v>0</v>
      </c>
      <c r="D262" s="45">
        <v>3323.7779600000003</v>
      </c>
      <c r="E262" s="45">
        <v>3999.7331313478348</v>
      </c>
      <c r="F262" s="45">
        <v>787.1320300000001</v>
      </c>
      <c r="G262" s="45">
        <v>694.96158274321169</v>
      </c>
      <c r="H262" s="46">
        <v>0.20336953294793325</v>
      </c>
      <c r="I262" s="46">
        <v>-0.11709655273053543</v>
      </c>
      <c r="J262" s="46">
        <v>0.14200863689818877</v>
      </c>
    </row>
    <row r="263" spans="1:10" ht="11.25" customHeight="1" x14ac:dyDescent="0.2">
      <c r="A263" s="55">
        <v>44470</v>
      </c>
      <c r="B263" s="45">
        <v>0</v>
      </c>
      <c r="C263" s="45">
        <v>0</v>
      </c>
      <c r="D263" s="45">
        <v>3794.8646000000003</v>
      </c>
      <c r="E263" s="45">
        <v>4566.6244413026461</v>
      </c>
      <c r="F263" s="45">
        <v>898.69405000000006</v>
      </c>
      <c r="G263" s="45">
        <v>793.46007478555669</v>
      </c>
      <c r="H263" s="46">
        <v>0.20336953294793325</v>
      </c>
      <c r="I263" s="46">
        <v>-0.11709655273053532</v>
      </c>
      <c r="J263" s="46">
        <v>0.14200863689818854</v>
      </c>
    </row>
    <row r="264" spans="1:10" ht="11.25" customHeight="1" x14ac:dyDescent="0.2">
      <c r="A264" s="55">
        <v>44501</v>
      </c>
      <c r="B264" s="45">
        <v>0</v>
      </c>
      <c r="C264" s="45">
        <v>0</v>
      </c>
      <c r="D264" s="45">
        <v>3768.6931199999999</v>
      </c>
      <c r="E264" s="45">
        <v>4535.1304796384893</v>
      </c>
      <c r="F264" s="45">
        <v>892.49616000000003</v>
      </c>
      <c r="G264" s="45">
        <v>787.98793633875971</v>
      </c>
      <c r="H264" s="46">
        <v>0.20336953294793325</v>
      </c>
      <c r="I264" s="46">
        <v>-0.11709655273053532</v>
      </c>
      <c r="J264" s="46">
        <v>0.14200863689818877</v>
      </c>
    </row>
    <row r="265" spans="1:10" ht="11.25" customHeight="1" x14ac:dyDescent="0.2">
      <c r="A265" s="55">
        <v>44531</v>
      </c>
      <c r="B265" s="45">
        <v>0</v>
      </c>
      <c r="C265" s="45">
        <v>0</v>
      </c>
      <c r="D265" s="45">
        <v>3271.4350000000004</v>
      </c>
      <c r="E265" s="45">
        <v>3936.7452080195221</v>
      </c>
      <c r="F265" s="45">
        <v>774.73625000000004</v>
      </c>
      <c r="G265" s="45">
        <v>684.01730584961786</v>
      </c>
      <c r="H265" s="46">
        <v>0.20336953294793303</v>
      </c>
      <c r="I265" s="46">
        <v>-0.11709655273053532</v>
      </c>
      <c r="J265" s="46">
        <v>0.14200863689818854</v>
      </c>
    </row>
    <row r="266" spans="1:10" ht="11.25" customHeight="1" x14ac:dyDescent="0.2">
      <c r="A266" s="55">
        <v>44562</v>
      </c>
      <c r="B266" s="45">
        <v>0</v>
      </c>
      <c r="C266" s="45">
        <v>0</v>
      </c>
      <c r="D266" s="45">
        <v>3978.0649600000002</v>
      </c>
      <c r="E266" s="45">
        <v>4787.0821729517393</v>
      </c>
      <c r="F266" s="45">
        <v>942.07928000000004</v>
      </c>
      <c r="G266" s="45">
        <v>831.76504391313529</v>
      </c>
      <c r="H266" s="46">
        <v>0.20336953294793325</v>
      </c>
      <c r="I266" s="46">
        <v>-0.11709655273053532</v>
      </c>
      <c r="J266" s="46">
        <v>0.14200863689818877</v>
      </c>
    </row>
    <row r="267" spans="1:10" ht="11.25" customHeight="1" x14ac:dyDescent="0.2">
      <c r="A267" s="55">
        <v>44593</v>
      </c>
      <c r="B267" s="45">
        <v>0</v>
      </c>
      <c r="C267" s="45">
        <v>0</v>
      </c>
      <c r="D267" s="45">
        <v>3821.0360800000003</v>
      </c>
      <c r="E267" s="45">
        <v>4598.118402966802</v>
      </c>
      <c r="F267" s="45">
        <v>904.89194000000009</v>
      </c>
      <c r="G267" s="45">
        <v>798.93221323235366</v>
      </c>
      <c r="H267" s="46">
        <v>0.20336953294793325</v>
      </c>
      <c r="I267" s="46">
        <v>-0.11709655273053532</v>
      </c>
      <c r="J267" s="46">
        <v>0.14200863689818877</v>
      </c>
    </row>
    <row r="268" spans="1:10" ht="11.25" customHeight="1" x14ac:dyDescent="0.2">
      <c r="A268" s="55">
        <v>44621</v>
      </c>
      <c r="B268" s="45">
        <v>0</v>
      </c>
      <c r="C268" s="45">
        <v>0</v>
      </c>
      <c r="D268" s="45">
        <v>2146.0613600000001</v>
      </c>
      <c r="E268" s="45">
        <v>2582.5048564608069</v>
      </c>
      <c r="F268" s="45">
        <v>508.22698000000003</v>
      </c>
      <c r="G268" s="45">
        <v>448.71535263734933</v>
      </c>
      <c r="H268" s="46">
        <v>0.20336953294793347</v>
      </c>
      <c r="I268" s="46">
        <v>-0.11709655273053532</v>
      </c>
      <c r="J268" s="46">
        <v>0.14200863689818877</v>
      </c>
    </row>
    <row r="269" spans="1:10" ht="11.25" customHeight="1" x14ac:dyDescent="0.2">
      <c r="A269" s="55">
        <v>44652</v>
      </c>
      <c r="B269" s="45">
        <v>0</v>
      </c>
      <c r="C269" s="45">
        <v>0</v>
      </c>
      <c r="D269" s="45">
        <v>4553.8375200000009</v>
      </c>
      <c r="E269" s="45">
        <v>5479.9493295631755</v>
      </c>
      <c r="F269" s="45">
        <v>1078.4328600000001</v>
      </c>
      <c r="G269" s="45">
        <v>952.15208974266807</v>
      </c>
      <c r="H269" s="46">
        <v>0.20336953294793325</v>
      </c>
      <c r="I269" s="46">
        <v>-0.11709655273053532</v>
      </c>
      <c r="J269" s="46">
        <v>0.14200863689818854</v>
      </c>
    </row>
    <row r="270" spans="1:10" ht="11.25" customHeight="1" x14ac:dyDescent="0.2">
      <c r="A270" s="55">
        <v>44682</v>
      </c>
      <c r="B270" s="45">
        <v>0</v>
      </c>
      <c r="C270" s="45">
        <v>0</v>
      </c>
      <c r="D270" s="45">
        <v>4658.5234399999999</v>
      </c>
      <c r="E270" s="45">
        <v>5605.9251762197991</v>
      </c>
      <c r="F270" s="45">
        <v>1103.22442</v>
      </c>
      <c r="G270" s="45">
        <v>974.04064352985574</v>
      </c>
      <c r="H270" s="46">
        <v>0.20336953294793325</v>
      </c>
      <c r="I270" s="46">
        <v>-0.11709655273053532</v>
      </c>
      <c r="J270" s="46">
        <v>0.14200863689818854</v>
      </c>
    </row>
    <row r="271" spans="1:10" ht="11.25" customHeight="1" x14ac:dyDescent="0.2">
      <c r="A271" s="55">
        <v>44713</v>
      </c>
      <c r="B271" s="45">
        <v>0</v>
      </c>
      <c r="C271" s="45">
        <v>0</v>
      </c>
      <c r="D271" s="45">
        <v>4527.6660400000001</v>
      </c>
      <c r="E271" s="45">
        <v>5448.4553678990187</v>
      </c>
      <c r="F271" s="45">
        <v>1072.23497</v>
      </c>
      <c r="G271" s="45">
        <v>946.67995129587109</v>
      </c>
      <c r="H271" s="46">
        <v>0.20336953294793325</v>
      </c>
      <c r="I271" s="46">
        <v>-0.11709655273053521</v>
      </c>
      <c r="J271" s="46">
        <v>0.14200863689818877</v>
      </c>
    </row>
    <row r="272" spans="1:10" ht="11.25" customHeight="1" x14ac:dyDescent="0.2">
      <c r="A272" s="48" t="s">
        <v>44</v>
      </c>
      <c r="B272" s="45">
        <v>0</v>
      </c>
      <c r="C272" s="45">
        <v>0</v>
      </c>
      <c r="D272" s="45">
        <v>150459.71906000003</v>
      </c>
      <c r="E272" s="45">
        <v>181059.82423788455</v>
      </c>
      <c r="F272" s="45">
        <v>35632.610930000003</v>
      </c>
      <c r="G272" s="45">
        <v>31459.504394775893</v>
      </c>
      <c r="H272" s="46">
        <v>0.20337739143113698</v>
      </c>
      <c r="I272" s="46">
        <v>-0.11711481214279096</v>
      </c>
      <c r="J272" s="46">
        <v>0.14201014434114789</v>
      </c>
    </row>
    <row r="273" spans="1:10" ht="11.25" customHeight="1" x14ac:dyDescent="0.2">
      <c r="A273" s="49" t="s">
        <v>23</v>
      </c>
      <c r="B273" s="45">
        <v>0</v>
      </c>
      <c r="C273" s="45">
        <v>0</v>
      </c>
      <c r="D273" s="45">
        <v>150459.71906000003</v>
      </c>
      <c r="E273" s="45">
        <v>181059.82423788455</v>
      </c>
      <c r="F273" s="45">
        <v>35632.610930000003</v>
      </c>
      <c r="G273" s="45">
        <v>31459.504394775893</v>
      </c>
      <c r="H273" s="46">
        <v>0.20337739143113698</v>
      </c>
      <c r="I273" s="46">
        <v>-0.11711481214279096</v>
      </c>
      <c r="J273" s="46">
        <v>0.14201014434114789</v>
      </c>
    </row>
    <row r="274" spans="1:10" ht="11.25" customHeight="1" x14ac:dyDescent="0.2">
      <c r="A274" s="50" t="s">
        <v>45</v>
      </c>
      <c r="B274" s="45">
        <v>0</v>
      </c>
      <c r="C274" s="45">
        <v>0</v>
      </c>
      <c r="D274" s="45">
        <v>150459.71906000003</v>
      </c>
      <c r="E274" s="45">
        <v>181059.82423788455</v>
      </c>
      <c r="F274" s="45">
        <v>35632.610930000003</v>
      </c>
      <c r="G274" s="45">
        <v>31459.504394775893</v>
      </c>
      <c r="H274" s="46">
        <v>0.20337739143113698</v>
      </c>
      <c r="I274" s="46">
        <v>-0.11711481214279096</v>
      </c>
      <c r="J274" s="46">
        <v>0.14201014434114789</v>
      </c>
    </row>
    <row r="275" spans="1:10" ht="11.25" customHeight="1" x14ac:dyDescent="0.2">
      <c r="A275" s="51" t="s">
        <v>46</v>
      </c>
      <c r="B275" s="45">
        <v>0</v>
      </c>
      <c r="C275" s="45">
        <v>0</v>
      </c>
      <c r="D275" s="45">
        <v>150459.71906000003</v>
      </c>
      <c r="E275" s="45">
        <v>181059.82423788455</v>
      </c>
      <c r="F275" s="45">
        <v>35632.610930000003</v>
      </c>
      <c r="G275" s="45">
        <v>31459.504394775893</v>
      </c>
      <c r="H275" s="46">
        <v>0.20337739143113698</v>
      </c>
      <c r="I275" s="46">
        <v>-0.11711481214279096</v>
      </c>
      <c r="J275" s="46">
        <v>0.14201014434114789</v>
      </c>
    </row>
    <row r="276" spans="1:10" ht="11.25" customHeight="1" x14ac:dyDescent="0.2">
      <c r="A276" s="52" t="s">
        <v>25</v>
      </c>
      <c r="B276" s="45">
        <v>0</v>
      </c>
      <c r="C276" s="45">
        <v>0</v>
      </c>
      <c r="D276" s="45">
        <v>150459.71906000003</v>
      </c>
      <c r="E276" s="45">
        <v>181059.82423788455</v>
      </c>
      <c r="F276" s="45">
        <v>35632.610930000003</v>
      </c>
      <c r="G276" s="45">
        <v>31459.504394775893</v>
      </c>
      <c r="H276" s="46">
        <v>0.20337739143113698</v>
      </c>
      <c r="I276" s="46">
        <v>-0.11711481214279096</v>
      </c>
      <c r="J276" s="46">
        <v>0.14201014434114789</v>
      </c>
    </row>
    <row r="277" spans="1:10" ht="11.25" customHeight="1" x14ac:dyDescent="0.2">
      <c r="A277" s="53" t="s">
        <v>25</v>
      </c>
      <c r="B277" s="45">
        <v>0</v>
      </c>
      <c r="C277" s="45">
        <v>0</v>
      </c>
      <c r="D277" s="45">
        <v>150459.71906000003</v>
      </c>
      <c r="E277" s="45">
        <v>181059.82423788455</v>
      </c>
      <c r="F277" s="45">
        <v>35632.610930000003</v>
      </c>
      <c r="G277" s="45">
        <v>31459.504394775893</v>
      </c>
      <c r="H277" s="46">
        <v>0.20337739143113698</v>
      </c>
      <c r="I277" s="46">
        <v>-0.11711481214279096</v>
      </c>
      <c r="J277" s="46">
        <v>0.14201014434114789</v>
      </c>
    </row>
    <row r="278" spans="1:10" ht="11.25" customHeight="1" x14ac:dyDescent="0.2">
      <c r="A278" s="54" t="s">
        <v>25</v>
      </c>
      <c r="B278" s="45">
        <v>0</v>
      </c>
      <c r="C278" s="45">
        <v>0</v>
      </c>
      <c r="D278" s="45">
        <v>150459.71906000003</v>
      </c>
      <c r="E278" s="45">
        <v>181059.82423788455</v>
      </c>
      <c r="F278" s="45">
        <v>35632.610930000003</v>
      </c>
      <c r="G278" s="45">
        <v>31459.504394775893</v>
      </c>
      <c r="H278" s="46">
        <v>0.20337739143113698</v>
      </c>
      <c r="I278" s="46">
        <v>-0.11711481214279096</v>
      </c>
      <c r="J278" s="46">
        <v>0.14201014434114789</v>
      </c>
    </row>
    <row r="279" spans="1:10" ht="11.25" customHeight="1" x14ac:dyDescent="0.2">
      <c r="A279" s="55">
        <v>44378</v>
      </c>
      <c r="B279" s="45">
        <v>0</v>
      </c>
      <c r="C279" s="45">
        <v>0</v>
      </c>
      <c r="D279" s="45">
        <v>12275.819579999999</v>
      </c>
      <c r="E279" s="45">
        <v>14772.443743859678</v>
      </c>
      <c r="F279" s="45">
        <v>2907.2199900000001</v>
      </c>
      <c r="G279" s="45">
        <v>2566.7414670133835</v>
      </c>
      <c r="H279" s="46">
        <v>0.2033773914311372</v>
      </c>
      <c r="I279" s="46">
        <v>-0.11711481214279096</v>
      </c>
      <c r="J279" s="46">
        <v>0.14201014434114789</v>
      </c>
    </row>
    <row r="280" spans="1:10" ht="11.25" customHeight="1" x14ac:dyDescent="0.2">
      <c r="A280" s="55">
        <v>44409</v>
      </c>
      <c r="B280" s="45">
        <v>0</v>
      </c>
      <c r="C280" s="45">
        <v>0</v>
      </c>
      <c r="D280" s="45">
        <v>12685.595459999999</v>
      </c>
      <c r="E280" s="45">
        <v>15265.558773405477</v>
      </c>
      <c r="F280" s="45">
        <v>3004.2651300000002</v>
      </c>
      <c r="G280" s="45">
        <v>2652.4211836729128</v>
      </c>
      <c r="H280" s="46">
        <v>0.20337739143113742</v>
      </c>
      <c r="I280" s="46">
        <v>-0.11711481214279096</v>
      </c>
      <c r="J280" s="46">
        <v>0.14201014434114811</v>
      </c>
    </row>
    <row r="281" spans="1:10" ht="11.25" customHeight="1" x14ac:dyDescent="0.2">
      <c r="A281" s="55">
        <v>44440</v>
      </c>
      <c r="B281" s="45">
        <v>0</v>
      </c>
      <c r="C281" s="45">
        <v>0</v>
      </c>
      <c r="D281" s="45">
        <v>12786.355</v>
      </c>
      <c r="E281" s="45">
        <v>15386.810525812478</v>
      </c>
      <c r="F281" s="45">
        <v>3028.1275000000001</v>
      </c>
      <c r="G281" s="45">
        <v>2673.4889166930811</v>
      </c>
      <c r="H281" s="46">
        <v>0.2033773914311372</v>
      </c>
      <c r="I281" s="46">
        <v>-0.11711481214279085</v>
      </c>
      <c r="J281" s="46">
        <v>0.14201014434114789</v>
      </c>
    </row>
    <row r="282" spans="1:10" ht="11.25" customHeight="1" x14ac:dyDescent="0.2">
      <c r="A282" s="55">
        <v>44470</v>
      </c>
      <c r="B282" s="45">
        <v>0</v>
      </c>
      <c r="C282" s="45">
        <v>0</v>
      </c>
      <c r="D282" s="45">
        <v>12443.65006</v>
      </c>
      <c r="E282" s="45">
        <v>14974.407149084713</v>
      </c>
      <c r="F282" s="45">
        <v>2946.9664299999999</v>
      </c>
      <c r="G282" s="45">
        <v>2601.8330101594388</v>
      </c>
      <c r="H282" s="46">
        <v>0.2033773914311372</v>
      </c>
      <c r="I282" s="46">
        <v>-0.11711481214279085</v>
      </c>
      <c r="J282" s="46">
        <v>0.14201014434114789</v>
      </c>
    </row>
    <row r="283" spans="1:10" ht="11.25" customHeight="1" x14ac:dyDescent="0.2">
      <c r="A283" s="55">
        <v>44501</v>
      </c>
      <c r="B283" s="45">
        <v>0</v>
      </c>
      <c r="C283" s="45">
        <v>0</v>
      </c>
      <c r="D283" s="45">
        <v>12859.24488</v>
      </c>
      <c r="E283" s="45">
        <v>15474.524559468606</v>
      </c>
      <c r="F283" s="45">
        <v>3045.3896399999999</v>
      </c>
      <c r="G283" s="45">
        <v>2688.7294044097985</v>
      </c>
      <c r="H283" s="46">
        <v>0.2033773914311372</v>
      </c>
      <c r="I283" s="46">
        <v>-0.11711481214279085</v>
      </c>
      <c r="J283" s="46">
        <v>0.14201014434114789</v>
      </c>
    </row>
    <row r="284" spans="1:10" ht="11.25" customHeight="1" x14ac:dyDescent="0.2">
      <c r="A284" s="55">
        <v>44531</v>
      </c>
      <c r="B284" s="45">
        <v>0</v>
      </c>
      <c r="C284" s="45">
        <v>0</v>
      </c>
      <c r="D284" s="45">
        <v>12356.67222</v>
      </c>
      <c r="E284" s="45">
        <v>14869.7399828732</v>
      </c>
      <c r="F284" s="45">
        <v>2926.3679099999999</v>
      </c>
      <c r="G284" s="45">
        <v>2583.6468819596585</v>
      </c>
      <c r="H284" s="46">
        <v>0.2033773914311372</v>
      </c>
      <c r="I284" s="46">
        <v>-0.11711481214279085</v>
      </c>
      <c r="J284" s="46">
        <v>0.14201014434114789</v>
      </c>
    </row>
    <row r="285" spans="1:10" ht="11.25" customHeight="1" x14ac:dyDescent="0.2">
      <c r="A285" s="55">
        <v>44562</v>
      </c>
      <c r="B285" s="45">
        <v>0</v>
      </c>
      <c r="C285" s="45">
        <v>0</v>
      </c>
      <c r="D285" s="45">
        <v>12859.24488</v>
      </c>
      <c r="E285" s="45">
        <v>15474.524559468606</v>
      </c>
      <c r="F285" s="45">
        <v>3045.3896399999999</v>
      </c>
      <c r="G285" s="45">
        <v>2688.7294044097985</v>
      </c>
      <c r="H285" s="46">
        <v>0.2033773914311372</v>
      </c>
      <c r="I285" s="46">
        <v>-0.11711481214279085</v>
      </c>
      <c r="J285" s="46">
        <v>0.14201014434114789</v>
      </c>
    </row>
    <row r="286" spans="1:10" ht="11.25" customHeight="1" x14ac:dyDescent="0.2">
      <c r="A286" s="55">
        <v>44593</v>
      </c>
      <c r="B286" s="45">
        <v>0</v>
      </c>
      <c r="C286" s="45">
        <v>0</v>
      </c>
      <c r="D286" s="45">
        <v>12763.998019999999</v>
      </c>
      <c r="E286" s="45">
        <v>15359.906641539799</v>
      </c>
      <c r="F286" s="45">
        <v>3022.8328099999999</v>
      </c>
      <c r="G286" s="45">
        <v>2668.814313317785</v>
      </c>
      <c r="H286" s="46">
        <v>0.2033773914311372</v>
      </c>
      <c r="I286" s="46">
        <v>-0.11711481214279096</v>
      </c>
      <c r="J286" s="46">
        <v>0.14201014434114811</v>
      </c>
    </row>
    <row r="287" spans="1:10" ht="11.25" customHeight="1" x14ac:dyDescent="0.2">
      <c r="A287" s="55">
        <v>44621</v>
      </c>
      <c r="B287" s="45">
        <v>0</v>
      </c>
      <c r="C287" s="45">
        <v>0</v>
      </c>
      <c r="D287" s="45">
        <v>11533.139080000001</v>
      </c>
      <c r="E287" s="45">
        <v>13878.718821102906</v>
      </c>
      <c r="F287" s="45">
        <v>2731.3347400000002</v>
      </c>
      <c r="G287" s="45">
        <v>2411.4549850258213</v>
      </c>
      <c r="H287" s="46">
        <v>0.2033773914311372</v>
      </c>
      <c r="I287" s="46">
        <v>-0.11711481214279096</v>
      </c>
      <c r="J287" s="46">
        <v>0.14201014434114789</v>
      </c>
    </row>
    <row r="288" spans="1:10" ht="11.25" customHeight="1" x14ac:dyDescent="0.2">
      <c r="A288" s="55">
        <v>44652</v>
      </c>
      <c r="B288" s="45">
        <v>0</v>
      </c>
      <c r="C288" s="45">
        <v>0</v>
      </c>
      <c r="D288" s="45">
        <v>12769.510699999999</v>
      </c>
      <c r="E288" s="45">
        <v>15366.540476017994</v>
      </c>
      <c r="F288" s="45">
        <v>3024.1383500000002</v>
      </c>
      <c r="G288" s="45">
        <v>2669.9669552459404</v>
      </c>
      <c r="H288" s="46">
        <v>0.2033773914311372</v>
      </c>
      <c r="I288" s="46">
        <v>-0.11711481214279096</v>
      </c>
      <c r="J288" s="46">
        <v>0.14201014434114789</v>
      </c>
    </row>
    <row r="289" spans="1:10" ht="11.25" customHeight="1" x14ac:dyDescent="0.2">
      <c r="A289" s="55">
        <v>44682</v>
      </c>
      <c r="B289" s="45">
        <v>0</v>
      </c>
      <c r="C289" s="45">
        <v>0</v>
      </c>
      <c r="D289" s="45">
        <v>12356.97848</v>
      </c>
      <c r="E289" s="45">
        <v>14870.108529233097</v>
      </c>
      <c r="F289" s="45">
        <v>2926.4404399999999</v>
      </c>
      <c r="G289" s="45">
        <v>2583.7109176223335</v>
      </c>
      <c r="H289" s="46">
        <v>0.2033773914311372</v>
      </c>
      <c r="I289" s="46">
        <v>-0.11711481214279096</v>
      </c>
      <c r="J289" s="46">
        <v>0.14201014434114789</v>
      </c>
    </row>
    <row r="290" spans="1:10" ht="11.25" customHeight="1" x14ac:dyDescent="0.2">
      <c r="A290" s="55">
        <v>44713</v>
      </c>
      <c r="B290" s="45">
        <v>0</v>
      </c>
      <c r="C290" s="45">
        <v>0</v>
      </c>
      <c r="D290" s="45">
        <v>12769.510699999999</v>
      </c>
      <c r="E290" s="45">
        <v>15366.540476017994</v>
      </c>
      <c r="F290" s="45">
        <v>3024.1383500000002</v>
      </c>
      <c r="G290" s="45">
        <v>2669.9669552459404</v>
      </c>
      <c r="H290" s="46">
        <v>0.2033773914311372</v>
      </c>
      <c r="I290" s="46">
        <v>-0.11711481214279096</v>
      </c>
      <c r="J290" s="46">
        <v>0.14201014434114789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6105-557B-4424-953E-15410DA5E4D4}">
  <dimension ref="A1:G118"/>
  <sheetViews>
    <sheetView showGridLines="0" workbookViewId="0"/>
  </sheetViews>
  <sheetFormatPr defaultRowHeight="11.25" customHeight="1" x14ac:dyDescent="0.2"/>
  <cols>
    <col min="1" max="1" width="34.7109375" style="14" bestFit="1" customWidth="1"/>
    <col min="2" max="2" width="20.42578125" style="45" bestFit="1" customWidth="1"/>
    <col min="3" max="3" width="21.85546875" style="45" bestFit="1" customWidth="1"/>
    <col min="4" max="4" width="20.28515625" style="45" bestFit="1" customWidth="1"/>
    <col min="5" max="5" width="21.7109375" style="45" bestFit="1" customWidth="1"/>
    <col min="6" max="6" width="14.85546875" style="45" bestFit="1" customWidth="1"/>
    <col min="7" max="7" width="14.7109375" style="45" bestFit="1" customWidth="1"/>
    <col min="8" max="16384" width="9.140625" style="14"/>
  </cols>
  <sheetData>
    <row r="1" spans="1:7" ht="11.25" customHeight="1" x14ac:dyDescent="0.2">
      <c r="A1" s="44" t="s">
        <v>582</v>
      </c>
      <c r="B1" s="45" t="s">
        <v>608</v>
      </c>
      <c r="C1" s="45" t="s">
        <v>609</v>
      </c>
      <c r="D1" s="45" t="s">
        <v>610</v>
      </c>
      <c r="E1" s="45" t="s">
        <v>611</v>
      </c>
      <c r="F1" s="45" t="s">
        <v>612</v>
      </c>
      <c r="G1" s="45" t="s">
        <v>613</v>
      </c>
    </row>
    <row r="2" spans="1:7" ht="11.25" customHeight="1" x14ac:dyDescent="0.2">
      <c r="A2" s="47" t="s">
        <v>599</v>
      </c>
      <c r="B2" s="45">
        <v>0</v>
      </c>
      <c r="C2" s="45">
        <v>3483.4951799999985</v>
      </c>
      <c r="D2" s="45">
        <v>0</v>
      </c>
      <c r="E2" s="45">
        <v>3978.1815821532091</v>
      </c>
      <c r="F2" s="45">
        <v>3483.4951799999985</v>
      </c>
      <c r="G2" s="45">
        <v>3978.1815821532091</v>
      </c>
    </row>
    <row r="3" spans="1:7" ht="11.25" customHeight="1" x14ac:dyDescent="0.2">
      <c r="A3" s="48" t="s">
        <v>37</v>
      </c>
      <c r="B3" s="45">
        <v>0</v>
      </c>
      <c r="C3" s="45">
        <v>3483.4951799999985</v>
      </c>
      <c r="D3" s="45">
        <v>0</v>
      </c>
      <c r="E3" s="45">
        <v>3978.1815821532091</v>
      </c>
      <c r="F3" s="45">
        <v>3483.4951799999985</v>
      </c>
      <c r="G3" s="45">
        <v>3978.1815821532091</v>
      </c>
    </row>
    <row r="4" spans="1:7" ht="11.25" customHeight="1" x14ac:dyDescent="0.2">
      <c r="A4" s="49" t="s">
        <v>23</v>
      </c>
      <c r="B4" s="45">
        <v>0</v>
      </c>
      <c r="C4" s="45">
        <v>3483.4951799999985</v>
      </c>
      <c r="D4" s="45">
        <v>0</v>
      </c>
      <c r="E4" s="45">
        <v>3978.1815821532091</v>
      </c>
      <c r="F4" s="45">
        <v>3483.4951799999985</v>
      </c>
      <c r="G4" s="45">
        <v>3978.1815821532091</v>
      </c>
    </row>
    <row r="5" spans="1:7" ht="11.25" customHeight="1" x14ac:dyDescent="0.2">
      <c r="A5" s="50" t="s">
        <v>47</v>
      </c>
      <c r="B5" s="45">
        <v>0</v>
      </c>
      <c r="C5" s="45">
        <v>3483.4951799999985</v>
      </c>
      <c r="D5" s="45">
        <v>0</v>
      </c>
      <c r="E5" s="45">
        <v>3978.1815821532091</v>
      </c>
      <c r="F5" s="45">
        <v>3483.4951799999985</v>
      </c>
      <c r="G5" s="45">
        <v>3978.1815821532091</v>
      </c>
    </row>
    <row r="6" spans="1:7" ht="11.25" customHeight="1" x14ac:dyDescent="0.2">
      <c r="A6" s="51" t="s">
        <v>48</v>
      </c>
      <c r="B6" s="45">
        <v>0</v>
      </c>
      <c r="C6" s="45">
        <v>3483.4951799999985</v>
      </c>
      <c r="D6" s="45">
        <v>0</v>
      </c>
      <c r="E6" s="45">
        <v>3978.1815821532091</v>
      </c>
      <c r="F6" s="45">
        <v>3483.4951799999985</v>
      </c>
      <c r="G6" s="45">
        <v>3978.1815821532091</v>
      </c>
    </row>
    <row r="7" spans="1:7" ht="11.25" customHeight="1" x14ac:dyDescent="0.2">
      <c r="A7" s="52" t="s">
        <v>25</v>
      </c>
      <c r="B7" s="45">
        <v>0</v>
      </c>
      <c r="C7" s="45">
        <v>3483.4951799999985</v>
      </c>
      <c r="D7" s="45">
        <v>0</v>
      </c>
      <c r="E7" s="45">
        <v>3978.1815821532091</v>
      </c>
      <c r="F7" s="45">
        <v>3483.4951799999985</v>
      </c>
      <c r="G7" s="45">
        <v>3978.1815821532091</v>
      </c>
    </row>
    <row r="8" spans="1:7" ht="11.25" customHeight="1" x14ac:dyDescent="0.2">
      <c r="A8" s="53" t="s">
        <v>25</v>
      </c>
      <c r="B8" s="45">
        <v>0</v>
      </c>
      <c r="C8" s="45">
        <v>3483.4951799999985</v>
      </c>
      <c r="D8" s="45">
        <v>0</v>
      </c>
      <c r="E8" s="45">
        <v>3978.1815821532091</v>
      </c>
      <c r="F8" s="45">
        <v>3483.4951799999985</v>
      </c>
      <c r="G8" s="45">
        <v>3978.1815821532091</v>
      </c>
    </row>
    <row r="9" spans="1:7" ht="11.25" customHeight="1" x14ac:dyDescent="0.2">
      <c r="A9" s="54" t="s">
        <v>25</v>
      </c>
      <c r="B9" s="45">
        <v>0</v>
      </c>
      <c r="C9" s="45">
        <v>3483.4951799999985</v>
      </c>
      <c r="D9" s="45">
        <v>0</v>
      </c>
      <c r="E9" s="45">
        <v>3978.1815821532091</v>
      </c>
      <c r="F9" s="45">
        <v>3483.4951799999985</v>
      </c>
      <c r="G9" s="45">
        <v>3978.1815821532091</v>
      </c>
    </row>
    <row r="10" spans="1:7" ht="11.25" customHeight="1" x14ac:dyDescent="0.2">
      <c r="A10" s="55">
        <v>44378</v>
      </c>
      <c r="B10" s="45">
        <v>0</v>
      </c>
      <c r="C10" s="45">
        <v>225.20816999999997</v>
      </c>
      <c r="D10" s="45">
        <v>0</v>
      </c>
      <c r="E10" s="45">
        <v>257.18967524003551</v>
      </c>
      <c r="F10" s="45">
        <v>225.20816999999997</v>
      </c>
      <c r="G10" s="45">
        <v>257.18967524003551</v>
      </c>
    </row>
    <row r="11" spans="1:7" ht="11.25" customHeight="1" x14ac:dyDescent="0.2">
      <c r="A11" s="55">
        <v>44409</v>
      </c>
      <c r="B11" s="45">
        <v>0</v>
      </c>
      <c r="C11" s="45">
        <v>270.6630300000005</v>
      </c>
      <c r="D11" s="45">
        <v>0</v>
      </c>
      <c r="E11" s="45">
        <v>309.09951794903407</v>
      </c>
      <c r="F11" s="45">
        <v>270.6630300000005</v>
      </c>
      <c r="G11" s="45">
        <v>309.09951794903407</v>
      </c>
    </row>
    <row r="12" spans="1:7" ht="11.25" customHeight="1" x14ac:dyDescent="0.2">
      <c r="A12" s="55">
        <v>44440</v>
      </c>
      <c r="B12" s="45">
        <v>0</v>
      </c>
      <c r="C12" s="45">
        <v>262.39850999999953</v>
      </c>
      <c r="D12" s="45">
        <v>0</v>
      </c>
      <c r="E12" s="45">
        <v>299.66136472921522</v>
      </c>
      <c r="F12" s="45">
        <v>262.39850999999953</v>
      </c>
      <c r="G12" s="45">
        <v>299.66136472921522</v>
      </c>
    </row>
    <row r="13" spans="1:7" ht="11.25" customHeight="1" x14ac:dyDescent="0.2">
      <c r="A13" s="55">
        <v>44470</v>
      </c>
      <c r="B13" s="45">
        <v>0</v>
      </c>
      <c r="C13" s="45">
        <v>299.58884999999975</v>
      </c>
      <c r="D13" s="45">
        <v>0</v>
      </c>
      <c r="E13" s="45">
        <v>342.13305421839561</v>
      </c>
      <c r="F13" s="45">
        <v>299.58884999999975</v>
      </c>
      <c r="G13" s="45">
        <v>342.13305421839561</v>
      </c>
    </row>
    <row r="14" spans="1:7" ht="11.25" customHeight="1" x14ac:dyDescent="0.2">
      <c r="A14" s="55">
        <v>44501</v>
      </c>
      <c r="B14" s="45">
        <v>0</v>
      </c>
      <c r="C14" s="45">
        <v>297.52272000000028</v>
      </c>
      <c r="D14" s="45">
        <v>0</v>
      </c>
      <c r="E14" s="45">
        <v>339.77351591344177</v>
      </c>
      <c r="F14" s="45">
        <v>297.52272000000028</v>
      </c>
      <c r="G14" s="45">
        <v>339.77351591344177</v>
      </c>
    </row>
    <row r="15" spans="1:7" ht="11.25" customHeight="1" x14ac:dyDescent="0.2">
      <c r="A15" s="55">
        <v>44531</v>
      </c>
      <c r="B15" s="45">
        <v>0</v>
      </c>
      <c r="C15" s="45">
        <v>258.26625000000001</v>
      </c>
      <c r="D15" s="45">
        <v>0</v>
      </c>
      <c r="E15" s="45">
        <v>294.9422881193068</v>
      </c>
      <c r="F15" s="45">
        <v>258.26625000000001</v>
      </c>
      <c r="G15" s="45">
        <v>294.9422881193068</v>
      </c>
    </row>
    <row r="16" spans="1:7" ht="11.25" customHeight="1" x14ac:dyDescent="0.2">
      <c r="A16" s="55">
        <v>44562</v>
      </c>
      <c r="B16" s="45">
        <v>0</v>
      </c>
      <c r="C16" s="45">
        <v>314.05175999999966</v>
      </c>
      <c r="D16" s="45">
        <v>0</v>
      </c>
      <c r="E16" s="45">
        <v>358.64982235307673</v>
      </c>
      <c r="F16" s="45">
        <v>314.05175999999966</v>
      </c>
      <c r="G16" s="45">
        <v>358.64982235307673</v>
      </c>
    </row>
    <row r="17" spans="1:7" ht="11.25" customHeight="1" x14ac:dyDescent="0.2">
      <c r="A17" s="55">
        <v>44593</v>
      </c>
      <c r="B17" s="45">
        <v>0</v>
      </c>
      <c r="C17" s="45">
        <v>301.6549799999998</v>
      </c>
      <c r="D17" s="45">
        <v>0</v>
      </c>
      <c r="E17" s="45">
        <v>344.49259252335014</v>
      </c>
      <c r="F17" s="45">
        <v>301.6549799999998</v>
      </c>
      <c r="G17" s="45">
        <v>344.49259252335014</v>
      </c>
    </row>
    <row r="18" spans="1:7" ht="11.25" customHeight="1" x14ac:dyDescent="0.2">
      <c r="A18" s="55">
        <v>44621</v>
      </c>
      <c r="B18" s="45">
        <v>0</v>
      </c>
      <c r="C18" s="45">
        <v>169.42265999999969</v>
      </c>
      <c r="D18" s="45">
        <v>0</v>
      </c>
      <c r="E18" s="45">
        <v>193.4821410062649</v>
      </c>
      <c r="F18" s="45">
        <v>169.42265999999969</v>
      </c>
      <c r="G18" s="45">
        <v>193.4821410062649</v>
      </c>
    </row>
    <row r="19" spans="1:7" ht="11.25" customHeight="1" x14ac:dyDescent="0.2">
      <c r="A19" s="55">
        <v>44652</v>
      </c>
      <c r="B19" s="45">
        <v>0</v>
      </c>
      <c r="C19" s="45">
        <v>359.50661999999897</v>
      </c>
      <c r="D19" s="45">
        <v>0</v>
      </c>
      <c r="E19" s="45">
        <v>410.55966506207392</v>
      </c>
      <c r="F19" s="45">
        <v>359.50661999999897</v>
      </c>
      <c r="G19" s="45">
        <v>410.55966506207392</v>
      </c>
    </row>
    <row r="20" spans="1:7" ht="11.25" customHeight="1" x14ac:dyDescent="0.2">
      <c r="A20" s="55">
        <v>44682</v>
      </c>
      <c r="B20" s="45">
        <v>0</v>
      </c>
      <c r="C20" s="45">
        <v>367.77114000000046</v>
      </c>
      <c r="D20" s="45">
        <v>0</v>
      </c>
      <c r="E20" s="45">
        <v>419.99781828189344</v>
      </c>
      <c r="F20" s="45">
        <v>367.77114000000046</v>
      </c>
      <c r="G20" s="45">
        <v>419.99781828189344</v>
      </c>
    </row>
    <row r="21" spans="1:7" ht="11.25" customHeight="1" x14ac:dyDescent="0.2">
      <c r="A21" s="55">
        <v>44713</v>
      </c>
      <c r="B21" s="45">
        <v>0</v>
      </c>
      <c r="C21" s="45">
        <v>357.44049000000012</v>
      </c>
      <c r="D21" s="45">
        <v>0</v>
      </c>
      <c r="E21" s="45">
        <v>408.20012675712076</v>
      </c>
      <c r="F21" s="45">
        <v>357.44049000000012</v>
      </c>
      <c r="G21" s="45">
        <v>408.20012675712076</v>
      </c>
    </row>
    <row r="22" spans="1:7" ht="11.25" customHeight="1" x14ac:dyDescent="0.2">
      <c r="A22" s="47" t="s">
        <v>597</v>
      </c>
      <c r="B22" s="45">
        <v>0</v>
      </c>
      <c r="C22" s="45">
        <v>112359.19095999996</v>
      </c>
      <c r="D22" s="45">
        <v>0</v>
      </c>
      <c r="E22" s="45">
        <v>123251.50102776026</v>
      </c>
      <c r="F22" s="45">
        <v>112359.19095999998</v>
      </c>
      <c r="G22" s="45">
        <v>123251.50102776026</v>
      </c>
    </row>
    <row r="23" spans="1:7" ht="11.25" customHeight="1" x14ac:dyDescent="0.2">
      <c r="A23" s="48" t="s">
        <v>22</v>
      </c>
      <c r="B23" s="45">
        <v>0</v>
      </c>
      <c r="C23" s="45">
        <v>112359.19095999996</v>
      </c>
      <c r="D23" s="45">
        <v>0</v>
      </c>
      <c r="E23" s="45">
        <v>123251.50102776026</v>
      </c>
      <c r="F23" s="45">
        <v>112359.19095999998</v>
      </c>
      <c r="G23" s="45">
        <v>123251.50102776026</v>
      </c>
    </row>
    <row r="24" spans="1:7" ht="11.25" customHeight="1" x14ac:dyDescent="0.2">
      <c r="A24" s="49" t="s">
        <v>23</v>
      </c>
      <c r="B24" s="45">
        <v>0</v>
      </c>
      <c r="C24" s="45">
        <v>112359.19095999996</v>
      </c>
      <c r="D24" s="45">
        <v>0</v>
      </c>
      <c r="E24" s="45">
        <v>123251.50102776026</v>
      </c>
      <c r="F24" s="45">
        <v>112359.19095999998</v>
      </c>
      <c r="G24" s="45">
        <v>123251.50102776026</v>
      </c>
    </row>
    <row r="25" spans="1:7" ht="11.25" customHeight="1" x14ac:dyDescent="0.2">
      <c r="A25" s="50" t="s">
        <v>24</v>
      </c>
      <c r="B25" s="45">
        <v>0</v>
      </c>
      <c r="C25" s="45">
        <v>112359.19095999996</v>
      </c>
      <c r="D25" s="45">
        <v>0</v>
      </c>
      <c r="E25" s="45">
        <v>123251.50102776026</v>
      </c>
      <c r="F25" s="45">
        <v>112359.19095999998</v>
      </c>
      <c r="G25" s="45">
        <v>123251.50102776026</v>
      </c>
    </row>
    <row r="26" spans="1:7" ht="11.25" customHeight="1" x14ac:dyDescent="0.2">
      <c r="A26" s="51" t="s">
        <v>29</v>
      </c>
      <c r="B26" s="45">
        <v>0</v>
      </c>
      <c r="C26" s="45">
        <v>44933.889000000003</v>
      </c>
      <c r="D26" s="45">
        <v>0</v>
      </c>
      <c r="E26" s="45">
        <v>49289.396575907769</v>
      </c>
      <c r="F26" s="45">
        <v>44933.889000000003</v>
      </c>
      <c r="G26" s="45">
        <v>49289.396575907769</v>
      </c>
    </row>
    <row r="27" spans="1:7" ht="11.25" customHeight="1" x14ac:dyDescent="0.2">
      <c r="A27" s="52" t="s">
        <v>25</v>
      </c>
      <c r="B27" s="45">
        <v>0</v>
      </c>
      <c r="C27" s="45">
        <v>44933.889000000003</v>
      </c>
      <c r="D27" s="45">
        <v>0</v>
      </c>
      <c r="E27" s="45">
        <v>49289.396575907769</v>
      </c>
      <c r="F27" s="45">
        <v>44933.889000000003</v>
      </c>
      <c r="G27" s="45">
        <v>49289.396575907769</v>
      </c>
    </row>
    <row r="28" spans="1:7" ht="11.25" customHeight="1" x14ac:dyDescent="0.2">
      <c r="A28" s="53" t="s">
        <v>25</v>
      </c>
      <c r="B28" s="45">
        <v>0</v>
      </c>
      <c r="C28" s="45">
        <v>44933.889000000003</v>
      </c>
      <c r="D28" s="45">
        <v>0</v>
      </c>
      <c r="E28" s="45">
        <v>49289.396575907769</v>
      </c>
      <c r="F28" s="45">
        <v>44933.889000000003</v>
      </c>
      <c r="G28" s="45">
        <v>49289.396575907769</v>
      </c>
    </row>
    <row r="29" spans="1:7" ht="11.25" customHeight="1" x14ac:dyDescent="0.2">
      <c r="A29" s="54" t="s">
        <v>25</v>
      </c>
      <c r="B29" s="45">
        <v>0</v>
      </c>
      <c r="C29" s="45">
        <v>44933.889000000003</v>
      </c>
      <c r="D29" s="45">
        <v>0</v>
      </c>
      <c r="E29" s="45">
        <v>49289.396575907769</v>
      </c>
      <c r="F29" s="45">
        <v>44933.889000000003</v>
      </c>
      <c r="G29" s="45">
        <v>49289.396575907769</v>
      </c>
    </row>
    <row r="30" spans="1:7" ht="11.25" customHeight="1" x14ac:dyDescent="0.2">
      <c r="A30" s="55">
        <v>44378</v>
      </c>
      <c r="B30" s="45">
        <v>0</v>
      </c>
      <c r="C30" s="45">
        <v>1510.6875</v>
      </c>
      <c r="D30" s="45">
        <v>0</v>
      </c>
      <c r="E30" s="45">
        <v>1657.1206487327784</v>
      </c>
      <c r="F30" s="45">
        <v>1510.6875</v>
      </c>
      <c r="G30" s="45">
        <v>1657.1206487327784</v>
      </c>
    </row>
    <row r="31" spans="1:7" ht="11.25" customHeight="1" x14ac:dyDescent="0.2">
      <c r="A31" s="55">
        <v>44409</v>
      </c>
      <c r="B31" s="45">
        <v>0</v>
      </c>
      <c r="C31" s="45">
        <v>1571.115</v>
      </c>
      <c r="D31" s="45">
        <v>0</v>
      </c>
      <c r="E31" s="45">
        <v>1723.4054746820896</v>
      </c>
      <c r="F31" s="45">
        <v>1571.115</v>
      </c>
      <c r="G31" s="45">
        <v>1723.4054746820896</v>
      </c>
    </row>
    <row r="32" spans="1:7" ht="11.25" customHeight="1" x14ac:dyDescent="0.2">
      <c r="A32" s="55">
        <v>44440</v>
      </c>
      <c r="B32" s="45">
        <v>0</v>
      </c>
      <c r="C32" s="45">
        <v>1522.7729999999999</v>
      </c>
      <c r="D32" s="45">
        <v>0</v>
      </c>
      <c r="E32" s="45">
        <v>1670.3776139226404</v>
      </c>
      <c r="F32" s="45">
        <v>1522.7729999999999</v>
      </c>
      <c r="G32" s="45">
        <v>1670.3776139226404</v>
      </c>
    </row>
    <row r="33" spans="1:7" ht="11.25" customHeight="1" x14ac:dyDescent="0.2">
      <c r="A33" s="55">
        <v>44470</v>
      </c>
      <c r="B33" s="45">
        <v>0</v>
      </c>
      <c r="C33" s="45">
        <v>1619.4569999999999</v>
      </c>
      <c r="D33" s="45">
        <v>0</v>
      </c>
      <c r="E33" s="45">
        <v>1776.4333354415382</v>
      </c>
      <c r="F33" s="45">
        <v>1619.4569999999999</v>
      </c>
      <c r="G33" s="45">
        <v>1776.4333354415382</v>
      </c>
    </row>
    <row r="34" spans="1:7" ht="11.25" customHeight="1" x14ac:dyDescent="0.2">
      <c r="A34" s="55">
        <v>44501</v>
      </c>
      <c r="B34" s="45">
        <v>0</v>
      </c>
      <c r="C34" s="45">
        <v>1776.5685000000001</v>
      </c>
      <c r="D34" s="45">
        <v>0</v>
      </c>
      <c r="E34" s="45">
        <v>1948.7738829097475</v>
      </c>
      <c r="F34" s="45">
        <v>1776.5685000000001</v>
      </c>
      <c r="G34" s="45">
        <v>1948.7738829097475</v>
      </c>
    </row>
    <row r="35" spans="1:7" ht="11.25" customHeight="1" x14ac:dyDescent="0.2">
      <c r="A35" s="55">
        <v>44531</v>
      </c>
      <c r="B35" s="45">
        <v>0</v>
      </c>
      <c r="C35" s="45">
        <v>1824.9105000000002</v>
      </c>
      <c r="D35" s="45">
        <v>0</v>
      </c>
      <c r="E35" s="45">
        <v>2001.8017436691964</v>
      </c>
      <c r="F35" s="45">
        <v>1824.9105000000002</v>
      </c>
      <c r="G35" s="45">
        <v>2001.8017436691964</v>
      </c>
    </row>
    <row r="36" spans="1:7" ht="11.25" customHeight="1" x14ac:dyDescent="0.2">
      <c r="A36" s="55">
        <v>44562</v>
      </c>
      <c r="B36" s="45">
        <v>0</v>
      </c>
      <c r="C36" s="45">
        <v>1885.338</v>
      </c>
      <c r="D36" s="45">
        <v>0</v>
      </c>
      <c r="E36" s="45">
        <v>2068.0865696185074</v>
      </c>
      <c r="F36" s="45">
        <v>1885.338</v>
      </c>
      <c r="G36" s="45">
        <v>2068.0865696185074</v>
      </c>
    </row>
    <row r="37" spans="1:7" ht="11.25" customHeight="1" x14ac:dyDescent="0.2">
      <c r="A37" s="55">
        <v>44593</v>
      </c>
      <c r="B37" s="45">
        <v>0</v>
      </c>
      <c r="C37" s="45">
        <v>2767.5795000000003</v>
      </c>
      <c r="D37" s="45">
        <v>0</v>
      </c>
      <c r="E37" s="45">
        <v>3035.8450284784499</v>
      </c>
      <c r="F37" s="45">
        <v>2767.5795000000003</v>
      </c>
      <c r="G37" s="45">
        <v>3035.8450284784499</v>
      </c>
    </row>
    <row r="38" spans="1:7" ht="11.25" customHeight="1" x14ac:dyDescent="0.2">
      <c r="A38" s="55">
        <v>44621</v>
      </c>
      <c r="B38" s="45">
        <v>0</v>
      </c>
      <c r="C38" s="45">
        <v>5450.5605000000005</v>
      </c>
      <c r="D38" s="45">
        <v>0</v>
      </c>
      <c r="E38" s="45">
        <v>5978.8913006278644</v>
      </c>
      <c r="F38" s="45">
        <v>5450.5605000000005</v>
      </c>
      <c r="G38" s="45">
        <v>5978.8913006278644</v>
      </c>
    </row>
    <row r="39" spans="1:7" ht="11.25" customHeight="1" x14ac:dyDescent="0.2">
      <c r="A39" s="55">
        <v>44652</v>
      </c>
      <c r="B39" s="45">
        <v>0</v>
      </c>
      <c r="C39" s="45">
        <v>7770.9764999999998</v>
      </c>
      <c r="D39" s="45">
        <v>0</v>
      </c>
      <c r="E39" s="45">
        <v>8524.2286170814114</v>
      </c>
      <c r="F39" s="45">
        <v>7770.9764999999998</v>
      </c>
      <c r="G39" s="45">
        <v>8524.2286170814114</v>
      </c>
    </row>
    <row r="40" spans="1:7" ht="11.25" customHeight="1" x14ac:dyDescent="0.2">
      <c r="A40" s="55">
        <v>44682</v>
      </c>
      <c r="B40" s="45">
        <v>0</v>
      </c>
      <c r="C40" s="45">
        <v>8423.5935000000009</v>
      </c>
      <c r="D40" s="45">
        <v>0</v>
      </c>
      <c r="E40" s="45">
        <v>9240.1047373339716</v>
      </c>
      <c r="F40" s="45">
        <v>8423.5935000000009</v>
      </c>
      <c r="G40" s="45">
        <v>9240.1047373339716</v>
      </c>
    </row>
    <row r="41" spans="1:7" ht="11.25" customHeight="1" x14ac:dyDescent="0.2">
      <c r="A41" s="55">
        <v>44713</v>
      </c>
      <c r="B41" s="45">
        <v>0</v>
      </c>
      <c r="C41" s="45">
        <v>8810.3295000000016</v>
      </c>
      <c r="D41" s="45">
        <v>0</v>
      </c>
      <c r="E41" s="45">
        <v>9664.3276234095647</v>
      </c>
      <c r="F41" s="45">
        <v>8810.3295000000016</v>
      </c>
      <c r="G41" s="45">
        <v>9664.3276234095647</v>
      </c>
    </row>
    <row r="42" spans="1:7" ht="11.25" customHeight="1" x14ac:dyDescent="0.2">
      <c r="A42" s="51" t="s">
        <v>30</v>
      </c>
      <c r="B42" s="45">
        <v>0</v>
      </c>
      <c r="C42" s="45">
        <v>54705.332499999997</v>
      </c>
      <c r="D42" s="45">
        <v>0</v>
      </c>
      <c r="E42" s="45">
        <v>60009.862426109685</v>
      </c>
      <c r="F42" s="45">
        <v>54705.332499999997</v>
      </c>
      <c r="G42" s="45">
        <v>60009.862426109685</v>
      </c>
    </row>
    <row r="43" spans="1:7" ht="11.25" customHeight="1" x14ac:dyDescent="0.2">
      <c r="A43" s="52" t="s">
        <v>25</v>
      </c>
      <c r="B43" s="45">
        <v>0</v>
      </c>
      <c r="C43" s="45">
        <v>54705.332499999997</v>
      </c>
      <c r="D43" s="45">
        <v>0</v>
      </c>
      <c r="E43" s="45">
        <v>60009.862426109685</v>
      </c>
      <c r="F43" s="45">
        <v>54705.332499999997</v>
      </c>
      <c r="G43" s="45">
        <v>60009.862426109685</v>
      </c>
    </row>
    <row r="44" spans="1:7" ht="11.25" customHeight="1" x14ac:dyDescent="0.2">
      <c r="A44" s="53" t="s">
        <v>25</v>
      </c>
      <c r="B44" s="45">
        <v>0</v>
      </c>
      <c r="C44" s="45">
        <v>54705.332499999997</v>
      </c>
      <c r="D44" s="45">
        <v>0</v>
      </c>
      <c r="E44" s="45">
        <v>60009.862426109685</v>
      </c>
      <c r="F44" s="45">
        <v>54705.332499999997</v>
      </c>
      <c r="G44" s="45">
        <v>60009.862426109685</v>
      </c>
    </row>
    <row r="45" spans="1:7" ht="11.25" customHeight="1" x14ac:dyDescent="0.2">
      <c r="A45" s="54" t="s">
        <v>25</v>
      </c>
      <c r="B45" s="45">
        <v>0</v>
      </c>
      <c r="C45" s="45">
        <v>54705.332499999997</v>
      </c>
      <c r="D45" s="45">
        <v>0</v>
      </c>
      <c r="E45" s="45">
        <v>60009.862426109685</v>
      </c>
      <c r="F45" s="45">
        <v>54705.332499999997</v>
      </c>
      <c r="G45" s="45">
        <v>60009.862426109685</v>
      </c>
    </row>
    <row r="46" spans="1:7" ht="11.25" customHeight="1" x14ac:dyDescent="0.2">
      <c r="A46" s="55">
        <v>44378</v>
      </c>
      <c r="B46" s="45">
        <v>0</v>
      </c>
      <c r="C46" s="45">
        <v>2035.259</v>
      </c>
      <c r="D46" s="45">
        <v>0</v>
      </c>
      <c r="E46" s="45">
        <v>2232.6089068465417</v>
      </c>
      <c r="F46" s="45">
        <v>2035.259</v>
      </c>
      <c r="G46" s="45">
        <v>2232.6089068465417</v>
      </c>
    </row>
    <row r="47" spans="1:7" ht="11.25" customHeight="1" x14ac:dyDescent="0.2">
      <c r="A47" s="55">
        <v>44409</v>
      </c>
      <c r="B47" s="45">
        <v>0</v>
      </c>
      <c r="C47" s="45">
        <v>2135.9063999999998</v>
      </c>
      <c r="D47" s="45">
        <v>0</v>
      </c>
      <c r="E47" s="45">
        <v>2343.0156323251886</v>
      </c>
      <c r="F47" s="45">
        <v>2135.9063999999998</v>
      </c>
      <c r="G47" s="45">
        <v>2343.0156323251886</v>
      </c>
    </row>
    <row r="48" spans="1:7" ht="11.25" customHeight="1" x14ac:dyDescent="0.2">
      <c r="A48" s="55">
        <v>44440</v>
      </c>
      <c r="B48" s="45">
        <v>0</v>
      </c>
      <c r="C48" s="45">
        <v>2068.7255</v>
      </c>
      <c r="D48" s="45">
        <v>0</v>
      </c>
      <c r="E48" s="45">
        <v>2269.3205027569293</v>
      </c>
      <c r="F48" s="45">
        <v>2068.7255</v>
      </c>
      <c r="G48" s="45">
        <v>2269.3205027569293</v>
      </c>
    </row>
    <row r="49" spans="1:7" ht="11.25" customHeight="1" x14ac:dyDescent="0.2">
      <c r="A49" s="55">
        <v>44470</v>
      </c>
      <c r="B49" s="45">
        <v>0</v>
      </c>
      <c r="C49" s="45">
        <v>2217.2175999999999</v>
      </c>
      <c r="D49" s="45">
        <v>0</v>
      </c>
      <c r="E49" s="45">
        <v>2432.2112135000571</v>
      </c>
      <c r="F49" s="45">
        <v>2217.2175999999999</v>
      </c>
      <c r="G49" s="45">
        <v>2432.2112135000571</v>
      </c>
    </row>
    <row r="50" spans="1:7" ht="11.25" customHeight="1" x14ac:dyDescent="0.2">
      <c r="A50" s="55">
        <v>44501</v>
      </c>
      <c r="B50" s="45">
        <v>0</v>
      </c>
      <c r="C50" s="45">
        <v>2425.4535999999998</v>
      </c>
      <c r="D50" s="45">
        <v>0</v>
      </c>
      <c r="E50" s="45">
        <v>2660.6389213869138</v>
      </c>
      <c r="F50" s="45">
        <v>2425.4535999999998</v>
      </c>
      <c r="G50" s="45">
        <v>2660.6389213869138</v>
      </c>
    </row>
    <row r="51" spans="1:7" ht="11.25" customHeight="1" x14ac:dyDescent="0.2">
      <c r="A51" s="55">
        <v>44531</v>
      </c>
      <c r="B51" s="45">
        <v>0</v>
      </c>
      <c r="C51" s="45">
        <v>2498.3361999999997</v>
      </c>
      <c r="D51" s="45">
        <v>0</v>
      </c>
      <c r="E51" s="45">
        <v>2740.5886191473132</v>
      </c>
      <c r="F51" s="45">
        <v>2498.3361999999997</v>
      </c>
      <c r="G51" s="45">
        <v>2740.5886191473132</v>
      </c>
    </row>
    <row r="52" spans="1:7" ht="11.25" customHeight="1" x14ac:dyDescent="0.2">
      <c r="A52" s="55">
        <v>44562</v>
      </c>
      <c r="B52" s="45">
        <v>0</v>
      </c>
      <c r="C52" s="45">
        <v>2599.2314999999994</v>
      </c>
      <c r="D52" s="45">
        <v>0</v>
      </c>
      <c r="E52" s="45">
        <v>2851.2672823734451</v>
      </c>
      <c r="F52" s="45">
        <v>2599.2314999999994</v>
      </c>
      <c r="G52" s="45">
        <v>2851.2672823734451</v>
      </c>
    </row>
    <row r="53" spans="1:7" ht="11.25" customHeight="1" x14ac:dyDescent="0.2">
      <c r="A53" s="55">
        <v>44593</v>
      </c>
      <c r="B53" s="45">
        <v>0</v>
      </c>
      <c r="C53" s="45">
        <v>3594.3020999999999</v>
      </c>
      <c r="D53" s="45">
        <v>0</v>
      </c>
      <c r="E53" s="45">
        <v>3942.82540077564</v>
      </c>
      <c r="F53" s="45">
        <v>3594.3020999999999</v>
      </c>
      <c r="G53" s="45">
        <v>3942.82540077564</v>
      </c>
    </row>
    <row r="54" spans="1:7" ht="11.25" customHeight="1" x14ac:dyDescent="0.2">
      <c r="A54" s="55">
        <v>44621</v>
      </c>
      <c r="B54" s="45">
        <v>0</v>
      </c>
      <c r="C54" s="45">
        <v>6505.8875999999991</v>
      </c>
      <c r="D54" s="45">
        <v>0</v>
      </c>
      <c r="E54" s="45">
        <v>7136.7342449793705</v>
      </c>
      <c r="F54" s="45">
        <v>6505.8875999999991</v>
      </c>
      <c r="G54" s="45">
        <v>7136.7342449793705</v>
      </c>
    </row>
    <row r="55" spans="1:7" ht="11.25" customHeight="1" x14ac:dyDescent="0.2">
      <c r="A55" s="55">
        <v>44652</v>
      </c>
      <c r="B55" s="45">
        <v>0</v>
      </c>
      <c r="C55" s="45">
        <v>9110.5728999999992</v>
      </c>
      <c r="D55" s="45">
        <v>0</v>
      </c>
      <c r="E55" s="45">
        <v>9993.9841577974712</v>
      </c>
      <c r="F55" s="45">
        <v>9110.5728999999992</v>
      </c>
      <c r="G55" s="45">
        <v>9993.9841577974712</v>
      </c>
    </row>
    <row r="56" spans="1:7" ht="11.25" customHeight="1" x14ac:dyDescent="0.2">
      <c r="A56" s="55">
        <v>44682</v>
      </c>
      <c r="B56" s="45">
        <v>0</v>
      </c>
      <c r="C56" s="45">
        <v>9519.3599999999988</v>
      </c>
      <c r="D56" s="45">
        <v>0</v>
      </c>
      <c r="E56" s="45">
        <v>10442.409503399171</v>
      </c>
      <c r="F56" s="45">
        <v>9519.3599999999988</v>
      </c>
      <c r="G56" s="45">
        <v>10442.409503399171</v>
      </c>
    </row>
    <row r="57" spans="1:7" ht="11.25" customHeight="1" x14ac:dyDescent="0.2">
      <c r="A57" s="55">
        <v>44713</v>
      </c>
      <c r="B57" s="45">
        <v>0</v>
      </c>
      <c r="C57" s="45">
        <v>9995.0800999999992</v>
      </c>
      <c r="D57" s="45">
        <v>0</v>
      </c>
      <c r="E57" s="45">
        <v>10964.258040821645</v>
      </c>
      <c r="F57" s="45">
        <v>9995.0800999999992</v>
      </c>
      <c r="G57" s="45">
        <v>10964.258040821645</v>
      </c>
    </row>
    <row r="58" spans="1:7" ht="11.25" customHeight="1" x14ac:dyDescent="0.2">
      <c r="A58" s="51" t="s">
        <v>31</v>
      </c>
      <c r="B58" s="45">
        <v>0</v>
      </c>
      <c r="C58" s="45">
        <v>12719.969459999991</v>
      </c>
      <c r="D58" s="45">
        <v>0</v>
      </c>
      <c r="E58" s="45">
        <v>13952.242025742848</v>
      </c>
      <c r="F58" s="45">
        <v>12719.969459999991</v>
      </c>
      <c r="G58" s="45">
        <v>13952.242025742848</v>
      </c>
    </row>
    <row r="59" spans="1:7" ht="11.25" customHeight="1" x14ac:dyDescent="0.2">
      <c r="A59" s="52" t="s">
        <v>25</v>
      </c>
      <c r="B59" s="45">
        <v>0</v>
      </c>
      <c r="C59" s="45">
        <v>12719.969459999991</v>
      </c>
      <c r="D59" s="45">
        <v>0</v>
      </c>
      <c r="E59" s="45">
        <v>13952.242025742848</v>
      </c>
      <c r="F59" s="45">
        <v>12719.969459999991</v>
      </c>
      <c r="G59" s="45">
        <v>13952.242025742848</v>
      </c>
    </row>
    <row r="60" spans="1:7" ht="11.25" customHeight="1" x14ac:dyDescent="0.2">
      <c r="A60" s="53" t="s">
        <v>25</v>
      </c>
      <c r="B60" s="45">
        <v>0</v>
      </c>
      <c r="C60" s="45">
        <v>12719.969459999991</v>
      </c>
      <c r="D60" s="45">
        <v>0</v>
      </c>
      <c r="E60" s="45">
        <v>13952.242025742848</v>
      </c>
      <c r="F60" s="45">
        <v>12719.969459999991</v>
      </c>
      <c r="G60" s="45">
        <v>13952.242025742848</v>
      </c>
    </row>
    <row r="61" spans="1:7" ht="11.25" customHeight="1" x14ac:dyDescent="0.2">
      <c r="A61" s="54" t="s">
        <v>25</v>
      </c>
      <c r="B61" s="45">
        <v>0</v>
      </c>
      <c r="C61" s="45">
        <v>12719.969459999991</v>
      </c>
      <c r="D61" s="45">
        <v>0</v>
      </c>
      <c r="E61" s="45">
        <v>13952.242025742848</v>
      </c>
      <c r="F61" s="45">
        <v>12719.969459999991</v>
      </c>
      <c r="G61" s="45">
        <v>13952.242025742848</v>
      </c>
    </row>
    <row r="62" spans="1:7" ht="11.25" customHeight="1" x14ac:dyDescent="0.2">
      <c r="A62" s="55">
        <v>44378</v>
      </c>
      <c r="B62" s="45">
        <v>0</v>
      </c>
      <c r="C62" s="45">
        <v>523.29713999999967</v>
      </c>
      <c r="D62" s="45">
        <v>0</v>
      </c>
      <c r="E62" s="45">
        <v>573.99260050259875</v>
      </c>
      <c r="F62" s="45">
        <v>523.29713999999967</v>
      </c>
      <c r="G62" s="45">
        <v>573.99260050259875</v>
      </c>
    </row>
    <row r="63" spans="1:7" ht="11.25" customHeight="1" x14ac:dyDescent="0.2">
      <c r="A63" s="55">
        <v>44409</v>
      </c>
      <c r="B63" s="45">
        <v>0</v>
      </c>
      <c r="C63" s="45">
        <v>581.93021999999962</v>
      </c>
      <c r="D63" s="45">
        <v>0</v>
      </c>
      <c r="E63" s="45">
        <v>638.30587778264828</v>
      </c>
      <c r="F63" s="45">
        <v>581.93021999999962</v>
      </c>
      <c r="G63" s="45">
        <v>638.30587778264828</v>
      </c>
    </row>
    <row r="64" spans="1:7" ht="11.25" customHeight="1" x14ac:dyDescent="0.2">
      <c r="A64" s="55">
        <v>44440</v>
      </c>
      <c r="B64" s="45">
        <v>0</v>
      </c>
      <c r="C64" s="45">
        <v>551.12615999999957</v>
      </c>
      <c r="D64" s="45">
        <v>0</v>
      </c>
      <c r="E64" s="45">
        <v>604.51761265771745</v>
      </c>
      <c r="F64" s="45">
        <v>551.12615999999957</v>
      </c>
      <c r="G64" s="45">
        <v>604.51761265771745</v>
      </c>
    </row>
    <row r="65" spans="1:7" ht="11.25" customHeight="1" x14ac:dyDescent="0.2">
      <c r="A65" s="55">
        <v>44470</v>
      </c>
      <c r="B65" s="45">
        <v>0</v>
      </c>
      <c r="C65" s="45">
        <v>621.90731999999969</v>
      </c>
      <c r="D65" s="45">
        <v>0</v>
      </c>
      <c r="E65" s="45">
        <v>682.15583956450041</v>
      </c>
      <c r="F65" s="45">
        <v>621.90731999999969</v>
      </c>
      <c r="G65" s="45">
        <v>682.15583956450041</v>
      </c>
    </row>
    <row r="66" spans="1:7" ht="11.25" customHeight="1" x14ac:dyDescent="0.2">
      <c r="A66" s="55">
        <v>44501</v>
      </c>
      <c r="B66" s="45">
        <v>0</v>
      </c>
      <c r="C66" s="45">
        <v>643.10447999999951</v>
      </c>
      <c r="D66" s="45">
        <v>0</v>
      </c>
      <c r="E66" s="45">
        <v>705.40651697441251</v>
      </c>
      <c r="F66" s="45">
        <v>643.10447999999951</v>
      </c>
      <c r="G66" s="45">
        <v>705.40651697441251</v>
      </c>
    </row>
    <row r="67" spans="1:7" ht="11.25" customHeight="1" x14ac:dyDescent="0.2">
      <c r="A67" s="55">
        <v>44531</v>
      </c>
      <c r="B67" s="45">
        <v>0</v>
      </c>
      <c r="C67" s="45">
        <v>603.12737999999956</v>
      </c>
      <c r="D67" s="45">
        <v>0</v>
      </c>
      <c r="E67" s="45">
        <v>661.55655519256061</v>
      </c>
      <c r="F67" s="45">
        <v>603.12737999999956</v>
      </c>
      <c r="G67" s="45">
        <v>661.55655519256061</v>
      </c>
    </row>
    <row r="68" spans="1:7" ht="11.25" customHeight="1" x14ac:dyDescent="0.2">
      <c r="A68" s="55">
        <v>44562</v>
      </c>
      <c r="B68" s="45">
        <v>0</v>
      </c>
      <c r="C68" s="45">
        <v>720.26957999999956</v>
      </c>
      <c r="D68" s="45">
        <v>0</v>
      </c>
      <c r="E68" s="45">
        <v>790.0471408789175</v>
      </c>
      <c r="F68" s="45">
        <v>720.26957999999956</v>
      </c>
      <c r="G68" s="45">
        <v>790.0471408789175</v>
      </c>
    </row>
    <row r="69" spans="1:7" ht="11.25" customHeight="1" x14ac:dyDescent="0.2">
      <c r="A69" s="55">
        <v>44593</v>
      </c>
      <c r="B69" s="45">
        <v>0</v>
      </c>
      <c r="C69" s="45">
        <v>865.36475999999948</v>
      </c>
      <c r="D69" s="45">
        <v>0</v>
      </c>
      <c r="E69" s="45">
        <v>949.19870759413527</v>
      </c>
      <c r="F69" s="45">
        <v>865.36475999999948</v>
      </c>
      <c r="G69" s="45">
        <v>949.19870759413527</v>
      </c>
    </row>
    <row r="70" spans="1:7" ht="11.25" customHeight="1" x14ac:dyDescent="0.2">
      <c r="A70" s="55">
        <v>44621</v>
      </c>
      <c r="B70" s="45">
        <v>0</v>
      </c>
      <c r="C70" s="45">
        <v>1328.6032799999991</v>
      </c>
      <c r="D70" s="45">
        <v>0</v>
      </c>
      <c r="E70" s="45">
        <v>1457.3143887686495</v>
      </c>
      <c r="F70" s="45">
        <v>1328.6032799999991</v>
      </c>
      <c r="G70" s="45">
        <v>1457.3143887686495</v>
      </c>
    </row>
    <row r="71" spans="1:7" ht="11.25" customHeight="1" x14ac:dyDescent="0.2">
      <c r="A71" s="55">
        <v>44652</v>
      </c>
      <c r="B71" s="45">
        <v>0</v>
      </c>
      <c r="C71" s="45">
        <v>2053.8932399999985</v>
      </c>
      <c r="D71" s="45">
        <v>0</v>
      </c>
      <c r="E71" s="45">
        <v>2252.8682690341252</v>
      </c>
      <c r="F71" s="45">
        <v>2053.8932399999985</v>
      </c>
      <c r="G71" s="45">
        <v>2252.8682690341252</v>
      </c>
    </row>
    <row r="72" spans="1:7" ht="11.25" customHeight="1" x14ac:dyDescent="0.2">
      <c r="A72" s="55">
        <v>44682</v>
      </c>
      <c r="B72" s="45">
        <v>0</v>
      </c>
      <c r="C72" s="45">
        <v>1990.8595799999989</v>
      </c>
      <c r="D72" s="45">
        <v>0</v>
      </c>
      <c r="E72" s="45">
        <v>2183.7280967362285</v>
      </c>
      <c r="F72" s="45">
        <v>1990.8595799999989</v>
      </c>
      <c r="G72" s="45">
        <v>2183.7280967362285</v>
      </c>
    </row>
    <row r="73" spans="1:7" ht="11.25" customHeight="1" x14ac:dyDescent="0.2">
      <c r="A73" s="55">
        <v>44713</v>
      </c>
      <c r="B73" s="45">
        <v>0</v>
      </c>
      <c r="C73" s="45">
        <v>2236.4863199999986</v>
      </c>
      <c r="D73" s="45">
        <v>0</v>
      </c>
      <c r="E73" s="45">
        <v>2453.1504200563518</v>
      </c>
      <c r="F73" s="45">
        <v>2236.4863199999986</v>
      </c>
      <c r="G73" s="45">
        <v>2453.1504200563518</v>
      </c>
    </row>
    <row r="74" spans="1:7" ht="11.25" customHeight="1" x14ac:dyDescent="0.2">
      <c r="A74" s="51" t="s">
        <v>32</v>
      </c>
      <c r="B74" s="45">
        <v>0</v>
      </c>
      <c r="C74" s="45">
        <v>0</v>
      </c>
      <c r="D74" s="45">
        <v>0</v>
      </c>
      <c r="E74" s="45">
        <v>1.0702194686018629E-12</v>
      </c>
      <c r="F74" s="45">
        <v>0</v>
      </c>
      <c r="G74" s="45">
        <v>1.0702194686018629E-12</v>
      </c>
    </row>
    <row r="75" spans="1:7" ht="11.25" customHeight="1" x14ac:dyDescent="0.2">
      <c r="A75" s="52" t="s">
        <v>25</v>
      </c>
      <c r="B75" s="45">
        <v>0</v>
      </c>
      <c r="C75" s="45">
        <v>0</v>
      </c>
      <c r="D75" s="45">
        <v>0</v>
      </c>
      <c r="E75" s="45">
        <v>1.0702194686018629E-12</v>
      </c>
      <c r="F75" s="45">
        <v>0</v>
      </c>
      <c r="G75" s="45">
        <v>1.0702194686018629E-12</v>
      </c>
    </row>
    <row r="76" spans="1:7" ht="11.25" customHeight="1" x14ac:dyDescent="0.2">
      <c r="A76" s="53" t="s">
        <v>25</v>
      </c>
      <c r="B76" s="45">
        <v>0</v>
      </c>
      <c r="C76" s="45">
        <v>0</v>
      </c>
      <c r="D76" s="45">
        <v>0</v>
      </c>
      <c r="E76" s="45">
        <v>1.0702194686018629E-12</v>
      </c>
      <c r="F76" s="45">
        <v>0</v>
      </c>
      <c r="G76" s="45">
        <v>1.0702194686018629E-12</v>
      </c>
    </row>
    <row r="77" spans="1:7" ht="11.25" customHeight="1" x14ac:dyDescent="0.2">
      <c r="A77" s="54" t="s">
        <v>25</v>
      </c>
      <c r="B77" s="45">
        <v>0</v>
      </c>
      <c r="C77" s="45">
        <v>0</v>
      </c>
      <c r="D77" s="45">
        <v>0</v>
      </c>
      <c r="E77" s="45">
        <v>1.0702194686018629E-12</v>
      </c>
      <c r="F77" s="45">
        <v>0</v>
      </c>
      <c r="G77" s="45">
        <v>1.0702194686018629E-12</v>
      </c>
    </row>
    <row r="78" spans="1:7" ht="11.25" customHeight="1" x14ac:dyDescent="0.2">
      <c r="A78" s="55">
        <v>44378</v>
      </c>
      <c r="B78" s="45">
        <v>0</v>
      </c>
      <c r="C78" s="45">
        <v>0</v>
      </c>
      <c r="D78" s="45">
        <v>0</v>
      </c>
      <c r="E78" s="45">
        <v>4.028777311759768E-14</v>
      </c>
      <c r="F78" s="45">
        <v>0</v>
      </c>
      <c r="G78" s="45">
        <v>4.028777311759768E-14</v>
      </c>
    </row>
    <row r="79" spans="1:7" ht="11.25" customHeight="1" x14ac:dyDescent="0.2">
      <c r="A79" s="55">
        <v>44409</v>
      </c>
      <c r="B79" s="45">
        <v>0</v>
      </c>
      <c r="C79" s="45">
        <v>0</v>
      </c>
      <c r="D79" s="45">
        <v>0</v>
      </c>
      <c r="E79" s="45">
        <v>5.0491166803112718E-14</v>
      </c>
      <c r="F79" s="45">
        <v>0</v>
      </c>
      <c r="G79" s="45">
        <v>5.0491166803112718E-14</v>
      </c>
    </row>
    <row r="80" spans="1:7" ht="11.25" customHeight="1" x14ac:dyDescent="0.2">
      <c r="A80" s="55">
        <v>44440</v>
      </c>
      <c r="B80" s="45">
        <v>0</v>
      </c>
      <c r="C80" s="45">
        <v>0</v>
      </c>
      <c r="D80" s="45">
        <v>0</v>
      </c>
      <c r="E80" s="45">
        <v>4.1708858589117882E-14</v>
      </c>
      <c r="F80" s="45">
        <v>0</v>
      </c>
      <c r="G80" s="45">
        <v>4.1708858589117882E-14</v>
      </c>
    </row>
    <row r="81" spans="1:7" ht="11.25" customHeight="1" x14ac:dyDescent="0.2">
      <c r="A81" s="55">
        <v>44470</v>
      </c>
      <c r="B81" s="45">
        <v>0</v>
      </c>
      <c r="C81" s="45">
        <v>0</v>
      </c>
      <c r="D81" s="45">
        <v>0</v>
      </c>
      <c r="E81" s="45">
        <v>5.1713300308620089E-14</v>
      </c>
      <c r="F81" s="45">
        <v>0</v>
      </c>
      <c r="G81" s="45">
        <v>5.1713300308620089E-14</v>
      </c>
    </row>
    <row r="82" spans="1:7" ht="11.25" customHeight="1" x14ac:dyDescent="0.2">
      <c r="A82" s="55">
        <v>44501</v>
      </c>
      <c r="B82" s="45">
        <v>0</v>
      </c>
      <c r="C82" s="45">
        <v>0</v>
      </c>
      <c r="D82" s="45">
        <v>0</v>
      </c>
      <c r="E82" s="45">
        <v>4.3726799958676565E-14</v>
      </c>
      <c r="F82" s="45">
        <v>0</v>
      </c>
      <c r="G82" s="45">
        <v>4.3726799958676565E-14</v>
      </c>
    </row>
    <row r="83" spans="1:7" ht="11.25" customHeight="1" x14ac:dyDescent="0.2">
      <c r="A83" s="55">
        <v>44531</v>
      </c>
      <c r="B83" s="45">
        <v>0</v>
      </c>
      <c r="C83" s="45">
        <v>0</v>
      </c>
      <c r="D83" s="45">
        <v>0</v>
      </c>
      <c r="E83" s="45">
        <v>3.0794922167842739E-14</v>
      </c>
      <c r="F83" s="45">
        <v>0</v>
      </c>
      <c r="G83" s="45">
        <v>3.0794922167842739E-14</v>
      </c>
    </row>
    <row r="84" spans="1:7" ht="11.25" customHeight="1" x14ac:dyDescent="0.2">
      <c r="A84" s="55">
        <v>44562</v>
      </c>
      <c r="B84" s="45">
        <v>0</v>
      </c>
      <c r="C84" s="45">
        <v>0</v>
      </c>
      <c r="D84" s="45">
        <v>0</v>
      </c>
      <c r="E84" s="45">
        <v>5.1869619710487312E-14</v>
      </c>
      <c r="F84" s="45">
        <v>0</v>
      </c>
      <c r="G84" s="45">
        <v>5.1869619710487312E-14</v>
      </c>
    </row>
    <row r="85" spans="1:7" ht="11.25" customHeight="1" x14ac:dyDescent="0.2">
      <c r="A85" s="55">
        <v>44593</v>
      </c>
      <c r="B85" s="45">
        <v>0</v>
      </c>
      <c r="C85" s="45">
        <v>0</v>
      </c>
      <c r="D85" s="45">
        <v>0</v>
      </c>
      <c r="E85" s="45">
        <v>7.2887473834271071E-14</v>
      </c>
      <c r="F85" s="45">
        <v>0</v>
      </c>
      <c r="G85" s="45">
        <v>7.2887473834271071E-14</v>
      </c>
    </row>
    <row r="86" spans="1:7" ht="11.25" customHeight="1" x14ac:dyDescent="0.2">
      <c r="A86" s="55">
        <v>44621</v>
      </c>
      <c r="B86" s="45">
        <v>0</v>
      </c>
      <c r="C86" s="45">
        <v>0</v>
      </c>
      <c r="D86" s="45">
        <v>0</v>
      </c>
      <c r="E86" s="45">
        <v>1.0314238352293614E-13</v>
      </c>
      <c r="F86" s="45">
        <v>0</v>
      </c>
      <c r="G86" s="45">
        <v>1.0314238352293614E-13</v>
      </c>
    </row>
    <row r="87" spans="1:7" ht="11.25" customHeight="1" x14ac:dyDescent="0.2">
      <c r="A87" s="55">
        <v>44652</v>
      </c>
      <c r="B87" s="45">
        <v>0</v>
      </c>
      <c r="C87" s="45">
        <v>0</v>
      </c>
      <c r="D87" s="45">
        <v>0</v>
      </c>
      <c r="E87" s="45">
        <v>1.9267076822870876E-13</v>
      </c>
      <c r="F87" s="45">
        <v>0</v>
      </c>
      <c r="G87" s="45">
        <v>1.9267076822870876E-13</v>
      </c>
    </row>
    <row r="88" spans="1:7" ht="11.25" customHeight="1" x14ac:dyDescent="0.2">
      <c r="A88" s="55">
        <v>44682</v>
      </c>
      <c r="B88" s="45">
        <v>0</v>
      </c>
      <c r="C88" s="45">
        <v>0</v>
      </c>
      <c r="D88" s="45">
        <v>0</v>
      </c>
      <c r="E88" s="45">
        <v>1.7169554666907062E-13</v>
      </c>
      <c r="F88" s="45">
        <v>0</v>
      </c>
      <c r="G88" s="45">
        <v>1.7169554666907062E-13</v>
      </c>
    </row>
    <row r="89" spans="1:7" ht="11.25" customHeight="1" x14ac:dyDescent="0.2">
      <c r="A89" s="55">
        <v>44713</v>
      </c>
      <c r="B89" s="45">
        <v>0</v>
      </c>
      <c r="C89" s="45">
        <v>0</v>
      </c>
      <c r="D89" s="45">
        <v>0</v>
      </c>
      <c r="E89" s="45">
        <v>2.1923085569142131E-13</v>
      </c>
      <c r="F89" s="45">
        <v>0</v>
      </c>
      <c r="G89" s="45">
        <v>2.1923085569142131E-13</v>
      </c>
    </row>
    <row r="90" spans="1:7" ht="11.25" customHeight="1" x14ac:dyDescent="0.2">
      <c r="A90" s="47" t="s">
        <v>598</v>
      </c>
      <c r="B90" s="45">
        <v>0</v>
      </c>
      <c r="C90" s="45">
        <v>55759.191360000041</v>
      </c>
      <c r="D90" s="45">
        <v>0</v>
      </c>
      <c r="E90" s="45">
        <v>31840.742465441825</v>
      </c>
      <c r="F90" s="45">
        <v>55759.191360000041</v>
      </c>
      <c r="G90" s="45">
        <v>31840.742465441832</v>
      </c>
    </row>
    <row r="91" spans="1:7" ht="11.25" customHeight="1" x14ac:dyDescent="0.2">
      <c r="A91" s="48" t="s">
        <v>41</v>
      </c>
      <c r="B91" s="45">
        <v>0</v>
      </c>
      <c r="C91" s="45">
        <v>55759.191360000041</v>
      </c>
      <c r="D91" s="45">
        <v>0</v>
      </c>
      <c r="E91" s="45">
        <v>31840.742465441825</v>
      </c>
      <c r="F91" s="45">
        <v>55759.191360000041</v>
      </c>
      <c r="G91" s="45">
        <v>31840.742465441832</v>
      </c>
    </row>
    <row r="92" spans="1:7" ht="11.25" customHeight="1" x14ac:dyDescent="0.2">
      <c r="A92" s="49" t="s">
        <v>23</v>
      </c>
      <c r="B92" s="45">
        <v>0</v>
      </c>
      <c r="C92" s="45">
        <v>55759.191360000041</v>
      </c>
      <c r="D92" s="45">
        <v>0</v>
      </c>
      <c r="E92" s="45">
        <v>31840.742465441825</v>
      </c>
      <c r="F92" s="45">
        <v>55759.191360000041</v>
      </c>
      <c r="G92" s="45">
        <v>31840.742465441832</v>
      </c>
    </row>
    <row r="93" spans="1:7" ht="11.25" customHeight="1" x14ac:dyDescent="0.2">
      <c r="A93" s="50" t="s">
        <v>42</v>
      </c>
      <c r="B93" s="45">
        <v>0</v>
      </c>
      <c r="C93" s="45">
        <v>55759.191360000041</v>
      </c>
      <c r="D93" s="45">
        <v>0</v>
      </c>
      <c r="E93" s="45">
        <v>31840.742465441825</v>
      </c>
      <c r="F93" s="45">
        <v>55759.191360000041</v>
      </c>
      <c r="G93" s="45">
        <v>31840.742465441832</v>
      </c>
    </row>
    <row r="94" spans="1:7" ht="11.25" customHeight="1" x14ac:dyDescent="0.2">
      <c r="A94" s="51" t="s">
        <v>25</v>
      </c>
      <c r="B94" s="45">
        <v>0</v>
      </c>
      <c r="C94" s="45">
        <v>55759.191360000041</v>
      </c>
      <c r="D94" s="45">
        <v>0</v>
      </c>
      <c r="E94" s="45">
        <v>31840.742465441825</v>
      </c>
      <c r="F94" s="45">
        <v>55759.191360000041</v>
      </c>
      <c r="G94" s="45">
        <v>31840.742465441832</v>
      </c>
    </row>
    <row r="95" spans="1:7" ht="11.25" customHeight="1" x14ac:dyDescent="0.2">
      <c r="A95" s="52" t="s">
        <v>25</v>
      </c>
      <c r="B95" s="45">
        <v>0</v>
      </c>
      <c r="C95" s="45">
        <v>55759.191360000041</v>
      </c>
      <c r="D95" s="45">
        <v>0</v>
      </c>
      <c r="E95" s="45">
        <v>31840.742465441825</v>
      </c>
      <c r="F95" s="45">
        <v>55759.191360000041</v>
      </c>
      <c r="G95" s="45">
        <v>31840.742465441832</v>
      </c>
    </row>
    <row r="96" spans="1:7" ht="11.25" customHeight="1" x14ac:dyDescent="0.2">
      <c r="A96" s="53" t="s">
        <v>25</v>
      </c>
      <c r="B96" s="45">
        <v>0</v>
      </c>
      <c r="C96" s="45">
        <v>55759.191360000041</v>
      </c>
      <c r="D96" s="45">
        <v>0</v>
      </c>
      <c r="E96" s="45">
        <v>31840.742465441825</v>
      </c>
      <c r="F96" s="45">
        <v>55759.191360000041</v>
      </c>
      <c r="G96" s="45">
        <v>31840.742465441832</v>
      </c>
    </row>
    <row r="97" spans="1:7" ht="11.25" customHeight="1" x14ac:dyDescent="0.2">
      <c r="A97" s="54" t="s">
        <v>25</v>
      </c>
      <c r="B97" s="45">
        <v>0</v>
      </c>
      <c r="C97" s="45">
        <v>55759.191360000041</v>
      </c>
      <c r="D97" s="45">
        <v>0</v>
      </c>
      <c r="E97" s="45">
        <v>31840.742465441825</v>
      </c>
      <c r="F97" s="45">
        <v>55759.191360000041</v>
      </c>
      <c r="G97" s="45">
        <v>31840.742465441832</v>
      </c>
    </row>
    <row r="98" spans="1:7" ht="11.25" customHeight="1" x14ac:dyDescent="0.2">
      <c r="A98" s="55">
        <v>44378</v>
      </c>
      <c r="B98" s="45">
        <v>0</v>
      </c>
      <c r="C98" s="45">
        <v>4479.7491200000031</v>
      </c>
      <c r="D98" s="45">
        <v>0</v>
      </c>
      <c r="E98" s="45">
        <v>2558.1170486994242</v>
      </c>
      <c r="F98" s="45">
        <v>4479.7491200000031</v>
      </c>
      <c r="G98" s="45">
        <v>2558.1170486994242</v>
      </c>
    </row>
    <row r="99" spans="1:7" ht="11.25" customHeight="1" x14ac:dyDescent="0.2">
      <c r="A99" s="55">
        <v>44409</v>
      </c>
      <c r="B99" s="45">
        <v>0</v>
      </c>
      <c r="C99" s="45">
        <v>4917.5758400000032</v>
      </c>
      <c r="D99" s="45">
        <v>0</v>
      </c>
      <c r="E99" s="45">
        <v>2808.1337274923985</v>
      </c>
      <c r="F99" s="45">
        <v>4917.5758400000032</v>
      </c>
      <c r="G99" s="45">
        <v>2808.1337274923985</v>
      </c>
    </row>
    <row r="100" spans="1:7" ht="11.25" customHeight="1" x14ac:dyDescent="0.2">
      <c r="A100" s="55">
        <v>44440</v>
      </c>
      <c r="B100" s="45">
        <v>0</v>
      </c>
      <c r="C100" s="45">
        <v>4648.5826400000033</v>
      </c>
      <c r="D100" s="45">
        <v>0</v>
      </c>
      <c r="E100" s="45">
        <v>2654.5277838398633</v>
      </c>
      <c r="F100" s="45">
        <v>4648.5826400000033</v>
      </c>
      <c r="G100" s="45">
        <v>2654.5277838398633</v>
      </c>
    </row>
    <row r="101" spans="1:7" ht="11.25" customHeight="1" x14ac:dyDescent="0.2">
      <c r="A101" s="55">
        <v>44470</v>
      </c>
      <c r="B101" s="45">
        <v>0</v>
      </c>
      <c r="C101" s="45">
        <v>4677.0934400000033</v>
      </c>
      <c r="D101" s="45">
        <v>0</v>
      </c>
      <c r="E101" s="45">
        <v>2670.808598144049</v>
      </c>
      <c r="F101" s="45">
        <v>4677.0934400000033</v>
      </c>
      <c r="G101" s="45">
        <v>2670.808598144049</v>
      </c>
    </row>
    <row r="102" spans="1:7" ht="11.25" customHeight="1" x14ac:dyDescent="0.2">
      <c r="A102" s="55">
        <v>44501</v>
      </c>
      <c r="B102" s="45">
        <v>0</v>
      </c>
      <c r="C102" s="45">
        <v>4433.5533600000035</v>
      </c>
      <c r="D102" s="45">
        <v>0</v>
      </c>
      <c r="E102" s="45">
        <v>2531.7374104500336</v>
      </c>
      <c r="F102" s="45">
        <v>4433.5533600000035</v>
      </c>
      <c r="G102" s="45">
        <v>2531.7374104500336</v>
      </c>
    </row>
    <row r="103" spans="1:7" ht="11.25" customHeight="1" x14ac:dyDescent="0.2">
      <c r="A103" s="55">
        <v>44531</v>
      </c>
      <c r="B103" s="45">
        <v>0</v>
      </c>
      <c r="C103" s="45">
        <v>4702.9597600000034</v>
      </c>
      <c r="D103" s="45">
        <v>0</v>
      </c>
      <c r="E103" s="45">
        <v>2685.5793079330642</v>
      </c>
      <c r="F103" s="45">
        <v>4702.9597600000034</v>
      </c>
      <c r="G103" s="45">
        <v>2685.5793079330642</v>
      </c>
    </row>
    <row r="104" spans="1:7" ht="11.25" customHeight="1" x14ac:dyDescent="0.2">
      <c r="A104" s="55">
        <v>44562</v>
      </c>
      <c r="B104" s="45">
        <v>0</v>
      </c>
      <c r="C104" s="45">
        <v>4878.569760000003</v>
      </c>
      <c r="D104" s="45">
        <v>0</v>
      </c>
      <c r="E104" s="45">
        <v>2785.8596858936285</v>
      </c>
      <c r="F104" s="45">
        <v>4878.569760000003</v>
      </c>
      <c r="G104" s="45">
        <v>2785.8596858936285</v>
      </c>
    </row>
    <row r="105" spans="1:7" ht="11.25" customHeight="1" x14ac:dyDescent="0.2">
      <c r="A105" s="55">
        <v>44593</v>
      </c>
      <c r="B105" s="45">
        <v>0</v>
      </c>
      <c r="C105" s="45">
        <v>5100.1276000000043</v>
      </c>
      <c r="D105" s="45">
        <v>0</v>
      </c>
      <c r="E105" s="45">
        <v>2912.3781298052868</v>
      </c>
      <c r="F105" s="45">
        <v>5100.1276000000043</v>
      </c>
      <c r="G105" s="45">
        <v>2912.3781298052868</v>
      </c>
    </row>
    <row r="106" spans="1:7" ht="11.25" customHeight="1" x14ac:dyDescent="0.2">
      <c r="A106" s="55">
        <v>44621</v>
      </c>
      <c r="B106" s="45">
        <v>0</v>
      </c>
      <c r="C106" s="45">
        <v>4421.1573600000029</v>
      </c>
      <c r="D106" s="45">
        <v>0</v>
      </c>
      <c r="E106" s="45">
        <v>2524.6587955351702</v>
      </c>
      <c r="F106" s="45">
        <v>4421.1573600000029</v>
      </c>
      <c r="G106" s="45">
        <v>2524.6587955351702</v>
      </c>
    </row>
    <row r="107" spans="1:7" ht="11.25" customHeight="1" x14ac:dyDescent="0.2">
      <c r="A107" s="55">
        <v>44652</v>
      </c>
      <c r="B107" s="45">
        <v>0</v>
      </c>
      <c r="C107" s="45">
        <v>4454.6265600000033</v>
      </c>
      <c r="D107" s="45">
        <v>0</v>
      </c>
      <c r="E107" s="45">
        <v>2543.7710558053013</v>
      </c>
      <c r="F107" s="45">
        <v>4454.6265600000033</v>
      </c>
      <c r="G107" s="45">
        <v>2543.7710558053013</v>
      </c>
    </row>
    <row r="108" spans="1:7" ht="11.25" customHeight="1" x14ac:dyDescent="0.2">
      <c r="A108" s="55">
        <v>44682</v>
      </c>
      <c r="B108" s="45">
        <v>0</v>
      </c>
      <c r="C108" s="45">
        <v>4513.3836000000028</v>
      </c>
      <c r="D108" s="45">
        <v>0</v>
      </c>
      <c r="E108" s="45">
        <v>2577.3236905017538</v>
      </c>
      <c r="F108" s="45">
        <v>4513.3836000000028</v>
      </c>
      <c r="G108" s="45">
        <v>2577.3236905017538</v>
      </c>
    </row>
    <row r="109" spans="1:7" ht="11.25" customHeight="1" x14ac:dyDescent="0.2">
      <c r="A109" s="55">
        <v>44713</v>
      </c>
      <c r="B109" s="45">
        <v>0</v>
      </c>
      <c r="C109" s="45">
        <v>4531.8123200000036</v>
      </c>
      <c r="D109" s="45">
        <v>0</v>
      </c>
      <c r="E109" s="45">
        <v>2587.8472313418506</v>
      </c>
      <c r="F109" s="45">
        <v>4531.8123200000036</v>
      </c>
      <c r="G109" s="45">
        <v>2587.8472313418506</v>
      </c>
    </row>
    <row r="110" spans="1:7" ht="11.25" customHeight="1" x14ac:dyDescent="0.2">
      <c r="A110" s="47" t="s">
        <v>607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</row>
    <row r="111" spans="1:7" ht="11.25" customHeight="1" x14ac:dyDescent="0.2">
      <c r="A111" s="48" t="s">
        <v>22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</row>
    <row r="112" spans="1:7" ht="11.25" customHeight="1" x14ac:dyDescent="0.2">
      <c r="A112" s="49" t="s">
        <v>23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</row>
    <row r="113" spans="1:7" ht="11.25" customHeight="1" x14ac:dyDescent="0.2">
      <c r="A113" s="50" t="s">
        <v>24</v>
      </c>
      <c r="B113" s="45">
        <v>0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</row>
    <row r="114" spans="1:7" ht="11.25" customHeight="1" x14ac:dyDescent="0.2">
      <c r="A114" s="51" t="s">
        <v>24</v>
      </c>
      <c r="B114" s="45">
        <v>0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</row>
    <row r="115" spans="1:7" ht="11.25" customHeight="1" x14ac:dyDescent="0.2">
      <c r="A115" s="52" t="s">
        <v>25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</row>
    <row r="116" spans="1:7" ht="11.25" customHeight="1" x14ac:dyDescent="0.2">
      <c r="A116" s="53" t="s">
        <v>25</v>
      </c>
      <c r="B116" s="45">
        <v>0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</row>
    <row r="117" spans="1:7" ht="11.25" customHeight="1" x14ac:dyDescent="0.2">
      <c r="A117" s="54" t="s">
        <v>25</v>
      </c>
      <c r="B117" s="45">
        <v>0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</row>
    <row r="118" spans="1:7" ht="11.25" customHeight="1" x14ac:dyDescent="0.2">
      <c r="A118" s="55">
        <v>44378</v>
      </c>
      <c r="B118" s="45">
        <v>0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29B2-BB2D-4CAA-924F-060816FABE23}">
  <dimension ref="A1:H23"/>
  <sheetViews>
    <sheetView showGridLines="0" workbookViewId="0">
      <selection activeCell="H1" sqref="H1"/>
    </sheetView>
  </sheetViews>
  <sheetFormatPr defaultRowHeight="11.25" customHeight="1" x14ac:dyDescent="0.25"/>
  <cols>
    <col min="1" max="1" width="11.140625" style="8" bestFit="1" customWidth="1"/>
    <col min="2" max="2" width="84.85546875" style="8" bestFit="1" customWidth="1"/>
    <col min="3" max="3" width="13.140625" style="8" bestFit="1" customWidth="1"/>
    <col min="4" max="4" width="5.5703125" style="8" bestFit="1" customWidth="1"/>
    <col min="5" max="5" width="8.42578125" style="8" bestFit="1" customWidth="1"/>
    <col min="6" max="6" width="9.140625" style="8"/>
    <col min="7" max="7" width="18.5703125" style="8" bestFit="1" customWidth="1"/>
    <col min="8" max="8" width="2" style="8" bestFit="1" customWidth="1"/>
    <col min="9" max="16384" width="9.140625" style="8"/>
  </cols>
  <sheetData>
    <row r="1" spans="1:8" s="7" customFormat="1" ht="11.25" customHeight="1" x14ac:dyDescent="0.25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G1" s="7" t="s">
        <v>55</v>
      </c>
      <c r="H1" s="7">
        <f>COUNTA(A:A)</f>
        <v>23</v>
      </c>
    </row>
    <row r="2" spans="1:8" ht="11.25" customHeight="1" x14ac:dyDescent="0.25">
      <c r="A2" s="8" t="s">
        <v>259</v>
      </c>
      <c r="B2" s="8" t="s">
        <v>260</v>
      </c>
      <c r="C2" s="8" t="s">
        <v>261</v>
      </c>
      <c r="D2" s="8">
        <v>14</v>
      </c>
      <c r="E2" s="8" t="s">
        <v>262</v>
      </c>
    </row>
    <row r="3" spans="1:8" ht="11.25" customHeight="1" x14ac:dyDescent="0.25">
      <c r="A3" s="8" t="s">
        <v>259</v>
      </c>
      <c r="B3" s="8" t="s">
        <v>260</v>
      </c>
      <c r="C3" s="8" t="s">
        <v>261</v>
      </c>
      <c r="D3" s="8">
        <v>15</v>
      </c>
      <c r="E3" s="8" t="s">
        <v>262</v>
      </c>
    </row>
    <row r="4" spans="1:8" ht="11.25" customHeight="1" x14ac:dyDescent="0.25">
      <c r="A4" s="8" t="s">
        <v>259</v>
      </c>
      <c r="B4" s="8" t="s">
        <v>260</v>
      </c>
      <c r="C4" s="8" t="s">
        <v>261</v>
      </c>
      <c r="D4" s="8">
        <v>16</v>
      </c>
      <c r="E4" s="8" t="s">
        <v>262</v>
      </c>
    </row>
    <row r="5" spans="1:8" ht="11.25" customHeight="1" x14ac:dyDescent="0.25">
      <c r="A5" s="8" t="s">
        <v>259</v>
      </c>
      <c r="B5" s="8" t="s">
        <v>260</v>
      </c>
      <c r="C5" s="8" t="s">
        <v>261</v>
      </c>
      <c r="D5" s="8">
        <v>17</v>
      </c>
      <c r="E5" s="8" t="s">
        <v>262</v>
      </c>
    </row>
    <row r="6" spans="1:8" ht="11.25" customHeight="1" x14ac:dyDescent="0.25">
      <c r="A6" s="8" t="s">
        <v>259</v>
      </c>
      <c r="B6" s="8" t="s">
        <v>260</v>
      </c>
      <c r="C6" s="8" t="s">
        <v>261</v>
      </c>
      <c r="D6" s="8">
        <v>18</v>
      </c>
      <c r="E6" s="8" t="s">
        <v>262</v>
      </c>
    </row>
    <row r="7" spans="1:8" ht="11.25" customHeight="1" x14ac:dyDescent="0.25">
      <c r="A7" s="8" t="s">
        <v>259</v>
      </c>
      <c r="B7" s="8" t="s">
        <v>260</v>
      </c>
      <c r="C7" s="8" t="s">
        <v>261</v>
      </c>
      <c r="D7" s="8">
        <v>19</v>
      </c>
      <c r="E7" s="8" t="s">
        <v>262</v>
      </c>
    </row>
    <row r="8" spans="1:8" ht="11.25" customHeight="1" x14ac:dyDescent="0.25">
      <c r="A8" s="8" t="s">
        <v>259</v>
      </c>
      <c r="B8" s="8" t="s">
        <v>260</v>
      </c>
      <c r="C8" s="8" t="s">
        <v>261</v>
      </c>
      <c r="D8" s="8">
        <v>20</v>
      </c>
      <c r="E8" s="8" t="s">
        <v>262</v>
      </c>
    </row>
    <row r="9" spans="1:8" ht="11.25" customHeight="1" x14ac:dyDescent="0.25">
      <c r="A9" s="8" t="s">
        <v>259</v>
      </c>
      <c r="B9" s="8" t="s">
        <v>260</v>
      </c>
      <c r="C9" s="8" t="s">
        <v>261</v>
      </c>
      <c r="D9" s="8">
        <v>21</v>
      </c>
      <c r="E9" s="8" t="s">
        <v>262</v>
      </c>
    </row>
    <row r="10" spans="1:8" ht="11.25" customHeight="1" x14ac:dyDescent="0.25">
      <c r="A10" s="8" t="s">
        <v>259</v>
      </c>
      <c r="B10" s="8" t="s">
        <v>260</v>
      </c>
      <c r="C10" s="8" t="s">
        <v>261</v>
      </c>
      <c r="D10" s="8">
        <v>22</v>
      </c>
      <c r="E10" s="8" t="s">
        <v>262</v>
      </c>
    </row>
    <row r="11" spans="1:8" ht="11.25" customHeight="1" x14ac:dyDescent="0.25">
      <c r="A11" s="8" t="s">
        <v>259</v>
      </c>
      <c r="B11" s="8" t="s">
        <v>260</v>
      </c>
      <c r="C11" s="8" t="s">
        <v>261</v>
      </c>
      <c r="D11" s="8">
        <v>23</v>
      </c>
      <c r="E11" s="8" t="s">
        <v>262</v>
      </c>
    </row>
    <row r="12" spans="1:8" ht="11.25" customHeight="1" x14ac:dyDescent="0.25">
      <c r="A12" s="8" t="s">
        <v>259</v>
      </c>
      <c r="B12" s="8" t="s">
        <v>260</v>
      </c>
      <c r="C12" s="8" t="s">
        <v>261</v>
      </c>
      <c r="D12" s="8">
        <v>24</v>
      </c>
      <c r="E12" s="8" t="s">
        <v>262</v>
      </c>
    </row>
    <row r="13" spans="1:8" ht="11.25" customHeight="1" x14ac:dyDescent="0.25">
      <c r="A13" s="8" t="s">
        <v>259</v>
      </c>
      <c r="B13" s="8" t="s">
        <v>260</v>
      </c>
      <c r="C13" s="8" t="s">
        <v>261</v>
      </c>
      <c r="D13" s="8">
        <v>25</v>
      </c>
      <c r="E13" s="8" t="s">
        <v>262</v>
      </c>
    </row>
    <row r="14" spans="1:8" ht="11.25" customHeight="1" x14ac:dyDescent="0.25">
      <c r="A14" s="8" t="s">
        <v>259</v>
      </c>
      <c r="B14" s="8" t="s">
        <v>260</v>
      </c>
      <c r="C14" s="8" t="s">
        <v>261</v>
      </c>
      <c r="D14" s="8">
        <v>47</v>
      </c>
      <c r="E14" s="8" t="s">
        <v>262</v>
      </c>
    </row>
    <row r="15" spans="1:8" ht="11.25" customHeight="1" x14ac:dyDescent="0.25">
      <c r="A15" s="8" t="s">
        <v>259</v>
      </c>
      <c r="B15" s="8" t="s">
        <v>260</v>
      </c>
      <c r="C15" s="8" t="s">
        <v>261</v>
      </c>
      <c r="D15" s="8">
        <v>48</v>
      </c>
      <c r="E15" s="8" t="s">
        <v>262</v>
      </c>
    </row>
    <row r="16" spans="1:8" ht="11.25" customHeight="1" x14ac:dyDescent="0.25">
      <c r="A16" s="8" t="s">
        <v>259</v>
      </c>
      <c r="B16" s="8" t="s">
        <v>260</v>
      </c>
      <c r="C16" s="8" t="s">
        <v>261</v>
      </c>
      <c r="D16" s="8">
        <v>49</v>
      </c>
      <c r="E16" s="8" t="s">
        <v>262</v>
      </c>
    </row>
    <row r="17" spans="1:5" ht="11.25" customHeight="1" x14ac:dyDescent="0.25">
      <c r="A17" s="8" t="s">
        <v>259</v>
      </c>
      <c r="B17" s="8" t="s">
        <v>260</v>
      </c>
      <c r="C17" s="8" t="s">
        <v>261</v>
      </c>
      <c r="D17" s="8">
        <v>50</v>
      </c>
      <c r="E17" s="8" t="s">
        <v>262</v>
      </c>
    </row>
    <row r="18" spans="1:5" ht="11.25" customHeight="1" x14ac:dyDescent="0.25">
      <c r="A18" s="8" t="s">
        <v>259</v>
      </c>
      <c r="B18" s="8" t="s">
        <v>260</v>
      </c>
      <c r="C18" s="8" t="s">
        <v>261</v>
      </c>
      <c r="D18" s="8">
        <v>51</v>
      </c>
      <c r="E18" s="8" t="s">
        <v>262</v>
      </c>
    </row>
    <row r="19" spans="1:5" ht="11.25" customHeight="1" x14ac:dyDescent="0.25">
      <c r="A19" s="8" t="s">
        <v>259</v>
      </c>
      <c r="B19" s="8" t="s">
        <v>260</v>
      </c>
      <c r="C19" s="8" t="s">
        <v>261</v>
      </c>
      <c r="D19" s="8">
        <v>52</v>
      </c>
      <c r="E19" s="8" t="s">
        <v>262</v>
      </c>
    </row>
    <row r="20" spans="1:5" ht="11.25" customHeight="1" x14ac:dyDescent="0.25">
      <c r="A20" s="8" t="s">
        <v>259</v>
      </c>
      <c r="B20" s="8" t="s">
        <v>260</v>
      </c>
      <c r="C20" s="8" t="s">
        <v>261</v>
      </c>
      <c r="D20" s="8">
        <v>53</v>
      </c>
      <c r="E20" s="8" t="s">
        <v>262</v>
      </c>
    </row>
    <row r="21" spans="1:5" ht="11.25" customHeight="1" x14ac:dyDescent="0.25">
      <c r="A21" s="8" t="s">
        <v>259</v>
      </c>
      <c r="B21" s="8" t="s">
        <v>260</v>
      </c>
      <c r="C21" s="8" t="s">
        <v>261</v>
      </c>
      <c r="D21" s="8">
        <v>54</v>
      </c>
      <c r="E21" s="8" t="s">
        <v>262</v>
      </c>
    </row>
    <row r="22" spans="1:5" ht="11.25" customHeight="1" x14ac:dyDescent="0.25">
      <c r="A22" s="8" t="s">
        <v>259</v>
      </c>
      <c r="B22" s="8" t="s">
        <v>260</v>
      </c>
      <c r="C22" s="8" t="s">
        <v>261</v>
      </c>
      <c r="D22" s="8">
        <v>55</v>
      </c>
      <c r="E22" s="8" t="s">
        <v>262</v>
      </c>
    </row>
    <row r="23" spans="1:5" ht="11.25" customHeight="1" x14ac:dyDescent="0.25">
      <c r="A23" s="8" t="s">
        <v>259</v>
      </c>
      <c r="C23" s="8" t="s">
        <v>487</v>
      </c>
      <c r="D23" s="8">
        <v>40</v>
      </c>
      <c r="E23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6C05-1E82-42A4-8818-543C52A54A6C}">
  <dimension ref="A1:V35"/>
  <sheetViews>
    <sheetView showGridLines="0" workbookViewId="0">
      <selection activeCell="R9" sqref="R9:S9"/>
    </sheetView>
  </sheetViews>
  <sheetFormatPr defaultRowHeight="11.25" customHeight="1" x14ac:dyDescent="0.25"/>
  <cols>
    <col min="1" max="1" width="9.28515625" style="8" bestFit="1" customWidth="1"/>
    <col min="2" max="2" width="11.140625" style="8" bestFit="1" customWidth="1"/>
    <col min="3" max="3" width="10.28515625" style="8" bestFit="1" customWidth="1"/>
    <col min="4" max="4" width="6.28515625" style="8" bestFit="1" customWidth="1"/>
    <col min="5" max="10" width="7.7109375" style="8" customWidth="1"/>
    <col min="11" max="12" width="9.140625" style="8"/>
    <col min="13" max="13" width="14.28515625" style="8" customWidth="1"/>
    <col min="14" max="14" width="16.7109375" style="8" customWidth="1"/>
    <col min="15" max="15" width="31.7109375" style="8" customWidth="1"/>
    <col min="16" max="22" width="7.7109375" style="8" customWidth="1"/>
    <col min="23" max="16384" width="9.140625" style="8"/>
  </cols>
  <sheetData>
    <row r="1" spans="1:22" ht="11.25" customHeight="1" x14ac:dyDescent="0.25">
      <c r="A1" s="95" t="s">
        <v>668</v>
      </c>
      <c r="B1" s="116"/>
      <c r="C1" s="116"/>
      <c r="D1" s="116"/>
      <c r="E1" s="116"/>
      <c r="F1" s="116"/>
      <c r="G1" s="116"/>
      <c r="H1" s="116"/>
      <c r="I1" s="116"/>
      <c r="J1" s="116"/>
      <c r="L1" s="95" t="s">
        <v>678</v>
      </c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1.25" customHeight="1" x14ac:dyDescent="0.25">
      <c r="A2" s="112" t="s">
        <v>56</v>
      </c>
      <c r="B2" s="112" t="s">
        <v>57</v>
      </c>
      <c r="C2" s="112" t="s">
        <v>669</v>
      </c>
      <c r="D2" s="112" t="s">
        <v>62</v>
      </c>
      <c r="E2" s="112" t="s">
        <v>670</v>
      </c>
      <c r="F2" s="115"/>
      <c r="G2" s="115"/>
      <c r="H2" s="112" t="s">
        <v>441</v>
      </c>
      <c r="I2" s="115"/>
      <c r="J2" s="115"/>
      <c r="L2" s="112" t="s">
        <v>56</v>
      </c>
      <c r="M2" s="112" t="s">
        <v>57</v>
      </c>
      <c r="N2" s="112" t="s">
        <v>58</v>
      </c>
      <c r="O2" s="112" t="s">
        <v>59</v>
      </c>
      <c r="P2" s="112" t="s">
        <v>62</v>
      </c>
      <c r="Q2" s="112" t="s">
        <v>670</v>
      </c>
      <c r="R2" s="117"/>
      <c r="S2" s="117"/>
      <c r="T2" s="112" t="s">
        <v>441</v>
      </c>
      <c r="U2" s="117"/>
      <c r="V2" s="117"/>
    </row>
    <row r="3" spans="1:22" ht="11.25" customHeight="1" x14ac:dyDescent="0.25">
      <c r="A3" s="115"/>
      <c r="B3" s="115"/>
      <c r="C3" s="115"/>
      <c r="D3" s="115"/>
      <c r="E3" s="112" t="s">
        <v>399</v>
      </c>
      <c r="F3" s="115"/>
      <c r="G3" s="36" t="s">
        <v>427</v>
      </c>
      <c r="H3" s="112" t="s">
        <v>399</v>
      </c>
      <c r="I3" s="115"/>
      <c r="J3" s="36" t="s">
        <v>427</v>
      </c>
      <c r="L3" s="117"/>
      <c r="M3" s="117"/>
      <c r="N3" s="117"/>
      <c r="O3" s="117"/>
      <c r="P3" s="117"/>
      <c r="Q3" s="112" t="s">
        <v>399</v>
      </c>
      <c r="R3" s="117"/>
      <c r="S3" s="36" t="s">
        <v>427</v>
      </c>
      <c r="T3" s="112" t="s">
        <v>399</v>
      </c>
      <c r="U3" s="117"/>
      <c r="V3" s="36" t="s">
        <v>427</v>
      </c>
    </row>
    <row r="4" spans="1:22" ht="11.25" customHeight="1" x14ac:dyDescent="0.25">
      <c r="A4" s="115"/>
      <c r="B4" s="115"/>
      <c r="C4" s="115"/>
      <c r="D4" s="115"/>
      <c r="E4" s="36" t="s">
        <v>671</v>
      </c>
      <c r="F4" s="36" t="s">
        <v>672</v>
      </c>
      <c r="G4" s="36" t="s">
        <v>672</v>
      </c>
      <c r="H4" s="36" t="s">
        <v>671</v>
      </c>
      <c r="I4" s="36" t="s">
        <v>672</v>
      </c>
      <c r="J4" s="36" t="s">
        <v>672</v>
      </c>
      <c r="L4" s="117"/>
      <c r="M4" s="117"/>
      <c r="N4" s="117"/>
      <c r="O4" s="117"/>
      <c r="P4" s="117"/>
      <c r="Q4" s="36" t="s">
        <v>671</v>
      </c>
      <c r="R4" s="36" t="s">
        <v>672</v>
      </c>
      <c r="S4" s="36" t="s">
        <v>672</v>
      </c>
      <c r="T4" s="36" t="s">
        <v>671</v>
      </c>
      <c r="U4" s="36" t="s">
        <v>672</v>
      </c>
      <c r="V4" s="36" t="s">
        <v>672</v>
      </c>
    </row>
    <row r="5" spans="1:22" ht="11.25" customHeight="1" x14ac:dyDescent="0.25">
      <c r="A5" s="114" t="s">
        <v>39</v>
      </c>
      <c r="B5" s="114" t="s">
        <v>71</v>
      </c>
      <c r="C5" s="114" t="s">
        <v>25</v>
      </c>
      <c r="D5" s="37" t="s">
        <v>673</v>
      </c>
      <c r="E5" s="35">
        <f ca="1">ROUND('TUSD BE'!$AM$5+'TUSD BF'!$AM$5+'TUSD CVA'!$AM$5,2)</f>
        <v>78.81</v>
      </c>
      <c r="F5" s="35">
        <f ca="1">ROUND('TUSD BE'!$AM$7+'TUSD BF'!$AM$7+'TUSD CVA'!$AM$7,2)</f>
        <v>97.14</v>
      </c>
      <c r="G5" s="35">
        <f>ROUND('TE BE'!$AB$5+'TE BF'!$AB$5+'TE CVA'!$AB$5,2)</f>
        <v>116.43</v>
      </c>
      <c r="H5" s="35">
        <f ca="1">ROUND('TUSD BE'!$AM$5,2)</f>
        <v>101.03</v>
      </c>
      <c r="I5" s="35">
        <f ca="1">ROUND('TUSD BE'!$AM$7,2)</f>
        <v>95.75</v>
      </c>
      <c r="J5" s="35">
        <f>ROUND('TE BE'!$AB$5,2)</f>
        <v>118.75</v>
      </c>
      <c r="L5" s="118" t="s">
        <v>22</v>
      </c>
      <c r="M5" s="118" t="s">
        <v>679</v>
      </c>
      <c r="N5" s="118" t="s">
        <v>680</v>
      </c>
      <c r="O5" s="118" t="s">
        <v>680</v>
      </c>
      <c r="P5" s="37" t="s">
        <v>673</v>
      </c>
      <c r="Q5" s="35">
        <v>0</v>
      </c>
      <c r="R5" s="35">
        <f ca="1">ROUND('TUSD BE'!$AM$17+'TUSD BF'!$AM$17+'TUSD CVA'!$AM$17,2)</f>
        <v>1689.48</v>
      </c>
      <c r="S5" s="35">
        <f>ROUND('TE BE'!$AB$8+'TE BF'!$AB$8+'TE CVA'!$AB$8,2)</f>
        <v>116.43</v>
      </c>
      <c r="T5" s="35">
        <v>0</v>
      </c>
      <c r="U5" s="35">
        <f ca="1">ROUND('TUSD BE'!$AM$17,2)</f>
        <v>2228.09</v>
      </c>
      <c r="V5" s="35">
        <f>ROUND('TE BE'!$AB$8,2)</f>
        <v>118.75</v>
      </c>
    </row>
    <row r="6" spans="1:22" ht="11.25" customHeight="1" x14ac:dyDescent="0.25">
      <c r="A6" s="115"/>
      <c r="B6" s="115"/>
      <c r="C6" s="115"/>
      <c r="D6" s="37" t="s">
        <v>674</v>
      </c>
      <c r="E6" s="35">
        <f ca="1">ROUND('TUSD BE'!$AM$6+'TUSD BF'!$AM$6+'TUSD CVA'!$AM$6,2)</f>
        <v>37.700000000000003</v>
      </c>
      <c r="F6" s="35">
        <f ca="1">ROUND('TUSD BE'!$AM$7+'TUSD BF'!$AM$7+'TUSD CVA'!$AM$7,2)</f>
        <v>97.14</v>
      </c>
      <c r="G6" s="35">
        <f>ROUND('TE BE'!$AB$6+'TE BF'!$AB$6+'TE CVA'!$AB$6,2)</f>
        <v>116.43</v>
      </c>
      <c r="H6" s="35">
        <f ca="1">ROUND('TUSD BE'!$AM$6,2)</f>
        <v>48</v>
      </c>
      <c r="I6" s="35">
        <f ca="1">ROUND('TUSD BE'!$AM$7,2)</f>
        <v>95.75</v>
      </c>
      <c r="J6" s="35">
        <f>ROUND('TE BE'!$AB$6,2)</f>
        <v>118.75</v>
      </c>
      <c r="L6" s="119"/>
      <c r="M6" s="119"/>
      <c r="N6" s="119"/>
      <c r="O6" s="119"/>
      <c r="P6" s="37" t="s">
        <v>681</v>
      </c>
      <c r="Q6" s="35">
        <v>0</v>
      </c>
      <c r="R6" s="35">
        <f ca="1">ROUND('TUSD BE'!$AM$18+'TUSD BF'!$AM$18+'TUSD CVA'!$AM$18,2)</f>
        <v>1067.06</v>
      </c>
      <c r="S6" s="35">
        <f>ROUND('TE BE'!$AB$9+'TE BF'!$AB$9+'TE CVA'!$AB$9,2)</f>
        <v>116.43</v>
      </c>
      <c r="T6" s="35">
        <v>0</v>
      </c>
      <c r="U6" s="35">
        <f ca="1">ROUND('TUSD BE'!$AM$18,2)</f>
        <v>1389.71</v>
      </c>
      <c r="V6" s="35">
        <f>ROUND('TE BE'!$AB$9,2)</f>
        <v>118.75</v>
      </c>
    </row>
    <row r="7" spans="1:22" ht="11.25" customHeight="1" x14ac:dyDescent="0.25">
      <c r="A7" s="115"/>
      <c r="B7" s="114" t="s">
        <v>675</v>
      </c>
      <c r="C7" s="114" t="s">
        <v>25</v>
      </c>
      <c r="D7" s="37" t="s">
        <v>673</v>
      </c>
      <c r="E7" s="35">
        <f ca="1">ROUND('TUSD BE'!$AM$5+'TUSD BF'!$AM$5+'TUSD CVA'!$AM$5,2)</f>
        <v>78.81</v>
      </c>
      <c r="F7" s="35">
        <f ca="1">ROUND('TUSD BE'!$AM$8+'TUSD BF'!$AM$8+'TUSD CVA'!$AM$8,2)</f>
        <v>5.22</v>
      </c>
      <c r="G7" s="35">
        <v>0</v>
      </c>
      <c r="H7" s="35">
        <f ca="1">ROUND('TUSD BE'!$AM$5,2)</f>
        <v>101.03</v>
      </c>
      <c r="I7" s="35">
        <f ca="1">ROUND('TUSD BE'!$AM$8,2)</f>
        <v>5.28</v>
      </c>
      <c r="J7" s="35">
        <v>0</v>
      </c>
      <c r="L7" s="119"/>
      <c r="M7" s="120"/>
      <c r="N7" s="120"/>
      <c r="O7" s="120"/>
      <c r="P7" s="37" t="s">
        <v>674</v>
      </c>
      <c r="Q7" s="35">
        <v>0</v>
      </c>
      <c r="R7" s="35">
        <f ca="1">ROUND('TUSD BE'!$AM$19+'TUSD BF'!$AM$19+'TUSD CVA'!$AM$19,2)</f>
        <v>444.69</v>
      </c>
      <c r="S7" s="35">
        <f>ROUND('TE BE'!$AB$10+'TE BF'!$AB$10+'TE CVA'!$AB$10,2)</f>
        <v>116.43</v>
      </c>
      <c r="T7" s="35">
        <v>0</v>
      </c>
      <c r="U7" s="35">
        <f ca="1">ROUND('TUSD BE'!$AM$19,2)</f>
        <v>551.4</v>
      </c>
      <c r="V7" s="35">
        <f>ROUND('TE BE'!$AB$10,2)</f>
        <v>118.75</v>
      </c>
    </row>
    <row r="8" spans="1:22" ht="11.25" customHeight="1" x14ac:dyDescent="0.25">
      <c r="A8" s="115"/>
      <c r="B8" s="115"/>
      <c r="C8" s="115"/>
      <c r="D8" s="37" t="s">
        <v>674</v>
      </c>
      <c r="E8" s="35">
        <f ca="1">ROUND('TUSD BE'!$AM$6+'TUSD BF'!$AM$6+'TUSD CVA'!$AM$6,2)</f>
        <v>37.700000000000003</v>
      </c>
      <c r="F8" s="35">
        <f ca="1">ROUND('TUSD BE'!$AM$8+'TUSD BF'!$AM$8+'TUSD CVA'!$AM$8,2)</f>
        <v>5.22</v>
      </c>
      <c r="G8" s="35">
        <v>0</v>
      </c>
      <c r="H8" s="35">
        <f ca="1">ROUND('TUSD BE'!$AM$6,2)</f>
        <v>48</v>
      </c>
      <c r="I8" s="35">
        <f ca="1">ROUND('TUSD BE'!$AM$8,2)</f>
        <v>5.28</v>
      </c>
      <c r="J8" s="35">
        <v>0</v>
      </c>
      <c r="L8" s="119"/>
      <c r="M8" s="37" t="s">
        <v>682</v>
      </c>
      <c r="N8" s="37" t="s">
        <v>680</v>
      </c>
      <c r="O8" s="37" t="s">
        <v>680</v>
      </c>
      <c r="P8" s="37" t="s">
        <v>676</v>
      </c>
      <c r="Q8" s="35">
        <v>0</v>
      </c>
      <c r="R8" s="35">
        <f ca="1">ROUND('TUSD BE'!$AM$25+'TUSD BF'!$AM$25+'TUSD CVA'!$AM$25,2)</f>
        <v>670.08</v>
      </c>
      <c r="S8" s="35">
        <f>ROUND('TE BE'!$AB$16+'TE BF'!$AB$16+'TE CVA'!$AB$16,2)</f>
        <v>116.43</v>
      </c>
      <c r="T8" s="35">
        <v>0</v>
      </c>
      <c r="U8" s="35">
        <f ca="1">ROUND('TUSD BE'!$AM$25,2)</f>
        <v>854.98</v>
      </c>
      <c r="V8" s="35">
        <f>ROUND('TE BE'!$AB$16,2)</f>
        <v>118.75</v>
      </c>
    </row>
    <row r="9" spans="1:22" ht="11.25" customHeight="1" x14ac:dyDescent="0.25">
      <c r="A9" s="115"/>
      <c r="B9" s="114" t="s">
        <v>40</v>
      </c>
      <c r="C9" s="114" t="s">
        <v>25</v>
      </c>
      <c r="D9" s="37" t="s">
        <v>676</v>
      </c>
      <c r="E9" s="35">
        <f ca="1">ROUND('TUSD BE'!$AM$10+'TUSD BF'!$AM$10+'TUSD CVA'!$AM$10,2)</f>
        <v>37.700000000000003</v>
      </c>
      <c r="F9" s="35">
        <v>0</v>
      </c>
      <c r="G9" s="35">
        <v>0</v>
      </c>
      <c r="H9" s="35">
        <f ca="1">ROUND('TUSD BE'!$AM$10,2)</f>
        <v>48</v>
      </c>
      <c r="I9" s="35">
        <v>0</v>
      </c>
      <c r="J9" s="35">
        <v>0</v>
      </c>
      <c r="L9" s="119"/>
      <c r="M9" s="37" t="s">
        <v>684</v>
      </c>
      <c r="N9" s="37" t="s">
        <v>680</v>
      </c>
      <c r="O9" s="37" t="s">
        <v>680</v>
      </c>
      <c r="P9" s="37" t="s">
        <v>676</v>
      </c>
      <c r="Q9" s="35">
        <v>0</v>
      </c>
      <c r="R9" s="35">
        <f ca="1">ROUND('TUSD BE'!$AM$20+'TUSD BF'!$AM$20+'TUSD CVA'!$AM$20,2)</f>
        <v>670.08</v>
      </c>
      <c r="S9" s="35">
        <f>ROUND('TE BE'!$AB$11+'TE BF'!$AB$11+'TE CVA'!$AB$11,2)</f>
        <v>116.43</v>
      </c>
      <c r="T9" s="35">
        <v>0</v>
      </c>
      <c r="U9" s="35">
        <f ca="1">ROUND('TUSD BE'!$AM$20,2)</f>
        <v>854.98</v>
      </c>
      <c r="V9" s="35">
        <f>ROUND('TE BE'!$AB$11,2)</f>
        <v>118.75</v>
      </c>
    </row>
    <row r="10" spans="1:22" ht="11.25" customHeight="1" x14ac:dyDescent="0.25">
      <c r="A10" s="115"/>
      <c r="B10" s="115"/>
      <c r="C10" s="115"/>
      <c r="D10" s="37" t="s">
        <v>673</v>
      </c>
      <c r="E10" s="35">
        <v>0</v>
      </c>
      <c r="F10" s="35">
        <f ca="1">ROUND('TUSD BE'!$AM$11+'TUSD BF'!$AM$11+'TUSD CVA'!$AM$11,2)</f>
        <v>1992.5</v>
      </c>
      <c r="G10" s="35">
        <f>ROUND('TE BE'!$AB$5+'TE BF'!$AB$5+'TE CVA'!$AB$5,2)</f>
        <v>116.43</v>
      </c>
      <c r="H10" s="35">
        <v>0</v>
      </c>
      <c r="I10" s="35">
        <f ca="1">ROUND('TUSD BE'!$AM$11,2)</f>
        <v>2525.48</v>
      </c>
      <c r="J10" s="35">
        <f>ROUND('TE BE'!$AB$5,2)</f>
        <v>118.75</v>
      </c>
      <c r="L10" s="119"/>
      <c r="M10" s="37" t="s">
        <v>682</v>
      </c>
      <c r="N10" s="37" t="s">
        <v>680</v>
      </c>
      <c r="O10" s="37" t="s">
        <v>683</v>
      </c>
      <c r="P10" s="37" t="s">
        <v>676</v>
      </c>
      <c r="Q10" s="35">
        <v>0</v>
      </c>
      <c r="R10" s="35">
        <f ca="1">ROUND('TUSD BE'!$AM$26+'TUSD BF'!$AM$26+'TUSD CVA'!$AM$26,2)</f>
        <v>563.41999999999996</v>
      </c>
      <c r="S10" s="35">
        <f>ROUND('TE BE'!$AB$17+'TE BF'!$AB$17+'TE CVA'!$AB$17,2)</f>
        <v>116.43</v>
      </c>
      <c r="T10" s="35">
        <v>0</v>
      </c>
      <c r="U10" s="35">
        <f ca="1">ROUND('TUSD BE'!$AM$26,2)</f>
        <v>750.01</v>
      </c>
      <c r="V10" s="35">
        <f>ROUND('TE BE'!$AB$17,2)</f>
        <v>118.75</v>
      </c>
    </row>
    <row r="11" spans="1:22" ht="11.25" customHeight="1" x14ac:dyDescent="0.25">
      <c r="A11" s="115"/>
      <c r="B11" s="115"/>
      <c r="C11" s="115"/>
      <c r="D11" s="37" t="s">
        <v>674</v>
      </c>
      <c r="E11" s="35">
        <v>0</v>
      </c>
      <c r="F11" s="35">
        <f ca="1">ROUND('TUSD BE'!$AM$12+'TUSD BF'!$AM$12+'TUSD CVA'!$AM$12,2)</f>
        <v>97.14</v>
      </c>
      <c r="G11" s="35">
        <f>ROUND('TE BE'!$AB$6+'TE BF'!$AB$6+'TE CVA'!$AB$6,2)</f>
        <v>116.43</v>
      </c>
      <c r="H11" s="35">
        <v>0</v>
      </c>
      <c r="I11" s="35">
        <f ca="1">ROUND('TUSD BE'!$AM$12,2)</f>
        <v>95.75</v>
      </c>
      <c r="J11" s="35">
        <f>ROUND('TE BE'!$AB$6,2)</f>
        <v>118.75</v>
      </c>
      <c r="L11" s="120"/>
      <c r="M11" s="37" t="s">
        <v>684</v>
      </c>
      <c r="N11" s="37" t="s">
        <v>680</v>
      </c>
      <c r="O11" s="37" t="s">
        <v>683</v>
      </c>
      <c r="P11" s="37" t="s">
        <v>676</v>
      </c>
      <c r="Q11" s="35">
        <v>0</v>
      </c>
      <c r="R11" s="35">
        <f ca="1">ROUND('TUSD BE'!$AM$21+'TUSD BF'!$AM$21+'TUSD CVA'!$AM$21,2)</f>
        <v>563.41999999999996</v>
      </c>
      <c r="S11" s="35">
        <f>ROUND('TE BE'!$AB$12+'TE BF'!$AB$12+'TE CVA'!$AB$12,2)</f>
        <v>116.43</v>
      </c>
      <c r="T11" s="35">
        <v>0</v>
      </c>
      <c r="U11" s="35">
        <f ca="1">ROUND('TUSD BE'!$AM$21,2)</f>
        <v>750.01</v>
      </c>
      <c r="V11" s="35">
        <f>ROUND('TE BE'!$AB$12,2)</f>
        <v>118.75</v>
      </c>
    </row>
    <row r="12" spans="1:22" ht="11.25" customHeight="1" x14ac:dyDescent="0.25">
      <c r="A12" s="115"/>
      <c r="B12" s="114" t="s">
        <v>677</v>
      </c>
      <c r="C12" s="114" t="s">
        <v>25</v>
      </c>
      <c r="D12" s="37" t="s">
        <v>676</v>
      </c>
      <c r="E12" s="35">
        <f ca="1">ROUND('TUSD BE'!$AM$10+'TUSD BF'!$AM$10+'TUSD CVA'!$AM$10,2)</f>
        <v>37.700000000000003</v>
      </c>
      <c r="F12" s="35">
        <v>0</v>
      </c>
      <c r="G12" s="35">
        <v>0</v>
      </c>
      <c r="H12" s="35">
        <f ca="1">ROUND('TUSD BE'!$AM$10,2)</f>
        <v>48</v>
      </c>
      <c r="I12" s="35">
        <v>0</v>
      </c>
      <c r="J12" s="35">
        <v>0</v>
      </c>
      <c r="L12" s="118" t="s">
        <v>41</v>
      </c>
      <c r="M12" s="118" t="s">
        <v>679</v>
      </c>
      <c r="N12" s="118" t="s">
        <v>685</v>
      </c>
      <c r="O12" s="118" t="s">
        <v>686</v>
      </c>
      <c r="P12" s="37" t="s">
        <v>673</v>
      </c>
      <c r="Q12" s="35">
        <v>0</v>
      </c>
      <c r="R12" s="35">
        <f ca="1">ROUND(('TUSD BE'!$AM$30+'TUSD BF'!$AM$30+'TUSD CVA'!$AM$30)*(1-CUSTOS!$M$38),2)</f>
        <v>1840.27</v>
      </c>
      <c r="S12" s="35">
        <f>ROUND(('TE BE'!$AB$21+'TE BF'!$AB$21+'TE CVA'!$AB$21)*(1-CUSTOS!$M$38),2)</f>
        <v>109.44</v>
      </c>
      <c r="T12" s="35">
        <v>0</v>
      </c>
      <c r="U12" s="35">
        <f ca="1">ROUND('TUSD BE'!$AM$30*(1-CUSTOS!$M$38),2)</f>
        <v>2434.06</v>
      </c>
      <c r="V12" s="35">
        <f>ROUND('TE BE'!$AB$21*(1-CUSTOS!$M$38),2)</f>
        <v>111.63</v>
      </c>
    </row>
    <row r="13" spans="1:22" ht="11.25" customHeight="1" x14ac:dyDescent="0.25">
      <c r="A13" s="115"/>
      <c r="B13" s="115"/>
      <c r="C13" s="115"/>
      <c r="D13" s="37" t="s">
        <v>673</v>
      </c>
      <c r="E13" s="35">
        <v>0</v>
      </c>
      <c r="F13" s="35">
        <f ca="1">ROUND('TUSD BE'!$AM$13+'TUSD BF'!$AM$13+'TUSD CVA'!$AM$13,2)</f>
        <v>1900.57</v>
      </c>
      <c r="G13" s="35">
        <v>0</v>
      </c>
      <c r="H13" s="35">
        <v>0</v>
      </c>
      <c r="I13" s="35">
        <f ca="1">ROUND('TUSD BE'!$AM$13,2)</f>
        <v>2435.0100000000002</v>
      </c>
      <c r="J13" s="35">
        <v>0</v>
      </c>
      <c r="L13" s="119"/>
      <c r="M13" s="119"/>
      <c r="N13" s="119"/>
      <c r="O13" s="119"/>
      <c r="P13" s="37" t="s">
        <v>681</v>
      </c>
      <c r="Q13" s="35">
        <v>0</v>
      </c>
      <c r="R13" s="35">
        <f ca="1">ROUND(('TUSD BE'!$AM$31+'TUSD BF'!$AM$31+'TUSD CVA'!$AM$31)*(1-CUSTOS!$M$38),2)</f>
        <v>1154.3800000000001</v>
      </c>
      <c r="S13" s="35">
        <f>ROUND(('TE BE'!$AB$22+'TE BF'!$AB$22+'TE CVA'!$AB$22)*(1-CUSTOS!$M$38),2)</f>
        <v>109.44</v>
      </c>
      <c r="T13" s="35">
        <v>0</v>
      </c>
      <c r="U13" s="35">
        <f ca="1">ROUND('TUSD BE'!$AM$31*(1-CUSTOS!$M$38),2)</f>
        <v>1510.17</v>
      </c>
      <c r="V13" s="35">
        <f>ROUND('TE BE'!$AB$22*(1-CUSTOS!$M$38),2)</f>
        <v>111.63</v>
      </c>
    </row>
    <row r="14" spans="1:22" ht="11.25" customHeight="1" x14ac:dyDescent="0.25">
      <c r="A14" s="115"/>
      <c r="B14" s="115"/>
      <c r="C14" s="115"/>
      <c r="D14" s="37" t="s">
        <v>674</v>
      </c>
      <c r="E14" s="35">
        <v>0</v>
      </c>
      <c r="F14" s="35">
        <f ca="1">ROUND('TUSD BE'!$AM$14+'TUSD BF'!$AM$14+'TUSD CVA'!$AM$14,2)</f>
        <v>5.22</v>
      </c>
      <c r="G14" s="35">
        <v>0</v>
      </c>
      <c r="H14" s="35">
        <v>0</v>
      </c>
      <c r="I14" s="35">
        <f ca="1">ROUND('TUSD BE'!$AM$14,2)</f>
        <v>5.28</v>
      </c>
      <c r="J14" s="35">
        <v>0</v>
      </c>
      <c r="L14" s="119"/>
      <c r="M14" s="120"/>
      <c r="N14" s="120"/>
      <c r="O14" s="120"/>
      <c r="P14" s="37" t="s">
        <v>674</v>
      </c>
      <c r="Q14" s="35">
        <v>0</v>
      </c>
      <c r="R14" s="35">
        <f ca="1">ROUND(('TUSD BE'!$AM$32+'TUSD BF'!$AM$32+'TUSD CVA'!$AM$32)*(1-CUSTOS!$M$38),2)</f>
        <v>468.48</v>
      </c>
      <c r="S14" s="35">
        <f>ROUND(('TE BE'!$AB$23+'TE BF'!$AB$23+'TE CVA'!$AB$23)*(1-CUSTOS!$M$38),2)</f>
        <v>109.44</v>
      </c>
      <c r="T14" s="35">
        <v>0</v>
      </c>
      <c r="U14" s="35">
        <f ca="1">ROUND('TUSD BE'!$AM$32*(1-CUSTOS!$M$38),2)</f>
        <v>586.28</v>
      </c>
      <c r="V14" s="35">
        <f>ROUND('TE BE'!$AB$23*(1-CUSTOS!$M$38),2)</f>
        <v>111.63</v>
      </c>
    </row>
    <row r="15" spans="1:22" ht="11.25" customHeight="1" x14ac:dyDescent="0.25">
      <c r="A15" s="115"/>
      <c r="B15" s="37" t="s">
        <v>76</v>
      </c>
      <c r="C15" s="37" t="s">
        <v>25</v>
      </c>
      <c r="D15" s="37" t="s">
        <v>676</v>
      </c>
      <c r="E15" s="35">
        <f ca="1">ROUND('TUSD BE'!$AM$9+'TUSD BF'!$AM$9+'TUSD CVA'!$AM$9,2)</f>
        <v>10.96</v>
      </c>
      <c r="F15" s="35">
        <v>0</v>
      </c>
      <c r="G15" s="35">
        <v>0</v>
      </c>
      <c r="H15" s="35">
        <f ca="1">ROUND('TUSD BE'!$AM$9,2)</f>
        <v>15.89</v>
      </c>
      <c r="I15" s="35">
        <v>0</v>
      </c>
      <c r="J15" s="35">
        <v>0</v>
      </c>
      <c r="L15" s="119"/>
      <c r="M15" s="37" t="s">
        <v>682</v>
      </c>
      <c r="N15" s="37" t="s">
        <v>685</v>
      </c>
      <c r="O15" s="37" t="s">
        <v>686</v>
      </c>
      <c r="P15" s="37" t="s">
        <v>676</v>
      </c>
      <c r="Q15" s="35">
        <v>0</v>
      </c>
      <c r="R15" s="35">
        <f ca="1">ROUND(('TUSD BE'!$AM$42+'TUSD BF'!$AM$42+'TUSD CVA'!$AM$42)*(1-CUSTOS!$M$38),2)</f>
        <v>629.88</v>
      </c>
      <c r="S15" s="35">
        <f>ROUND(('TE BE'!$AB$33+'TE BF'!$AB$33+'TE CVA'!$AB$33)*(1-CUSTOS!$M$38),2)</f>
        <v>109.44</v>
      </c>
      <c r="T15" s="35">
        <v>0</v>
      </c>
      <c r="U15" s="35">
        <f ca="1">ROUND(('TUSD BE'!$AM$42)*(1-CUSTOS!$M$38),2)</f>
        <v>803.68</v>
      </c>
      <c r="V15" s="35">
        <f>ROUND(('TE BE'!$AB$33)*(1-CUSTOS!$M$38),2)</f>
        <v>111.63</v>
      </c>
    </row>
    <row r="16" spans="1:22" ht="11.25" customHeight="1" x14ac:dyDescent="0.25">
      <c r="L16" s="119"/>
      <c r="M16" s="37" t="s">
        <v>684</v>
      </c>
      <c r="N16" s="37" t="s">
        <v>685</v>
      </c>
      <c r="O16" s="37" t="s">
        <v>686</v>
      </c>
      <c r="P16" s="37" t="s">
        <v>676</v>
      </c>
      <c r="Q16" s="35">
        <v>0</v>
      </c>
      <c r="R16" s="35">
        <f ca="1">ROUND(('TUSD BE'!$AM$33+'TUSD BF'!$AM$33+'TUSD CVA'!$AM$33)*(1-CUSTOS!$M$38),2)</f>
        <v>629.88</v>
      </c>
      <c r="S16" s="35">
        <f>ROUND(('TE BE'!$AB$24+'TE BF'!$AB$24+'TE CVA'!$AB$24)*(1-CUSTOS!$M$38),2)</f>
        <v>109.44</v>
      </c>
      <c r="T16" s="35">
        <v>0</v>
      </c>
      <c r="U16" s="35">
        <f ca="1">ROUND(('TUSD BE'!$AM$33)*(1-CUSTOS!$M$38),2)</f>
        <v>803.68</v>
      </c>
      <c r="V16" s="35">
        <f>ROUND(('TE BE'!$AB$24)*(1-CUSTOS!$M$38),2)</f>
        <v>111.63</v>
      </c>
    </row>
    <row r="17" spans="12:22" ht="11.25" customHeight="1" x14ac:dyDescent="0.25">
      <c r="L17" s="119"/>
      <c r="M17" s="118" t="s">
        <v>679</v>
      </c>
      <c r="N17" s="118" t="s">
        <v>685</v>
      </c>
      <c r="O17" s="118" t="s">
        <v>687</v>
      </c>
      <c r="P17" s="37" t="s">
        <v>673</v>
      </c>
      <c r="Q17" s="35">
        <v>0</v>
      </c>
      <c r="R17" s="35">
        <f ca="1">ROUND(('TUSD BE'!$AM$34+'TUSD BF'!$AM$34+'TUSD CVA'!$AM$34)*(1-CUSTOS!$M$39),2)</f>
        <v>1840.27</v>
      </c>
      <c r="S17" s="35">
        <f>ROUND(('TE BE'!$AB$25+'TE BF'!$AB$25+'TE CVA'!$AB$25)*(1-CUSTOS!$M$39),2)</f>
        <v>109.44</v>
      </c>
      <c r="T17" s="35">
        <v>0</v>
      </c>
      <c r="U17" s="35">
        <f ca="1">ROUND('TUSD BE'!$AM$34*(1-CUSTOS!$M$39),2)</f>
        <v>2434.06</v>
      </c>
      <c r="V17" s="35">
        <f>ROUND('TE BE'!$AB$25*(1-CUSTOS!$M$39),2)</f>
        <v>111.63</v>
      </c>
    </row>
    <row r="18" spans="12:22" ht="11.25" customHeight="1" x14ac:dyDescent="0.25">
      <c r="L18" s="119"/>
      <c r="M18" s="119"/>
      <c r="N18" s="119"/>
      <c r="O18" s="119"/>
      <c r="P18" s="37" t="s">
        <v>681</v>
      </c>
      <c r="Q18" s="35">
        <v>0</v>
      </c>
      <c r="R18" s="35">
        <f ca="1">ROUND(('TUSD BE'!$AM$35+'TUSD BF'!$AM$35+'TUSD CVA'!$AM$35)*(1-CUSTOS!$M$39),2)</f>
        <v>1154.3800000000001</v>
      </c>
      <c r="S18" s="35">
        <f>ROUND(('TE BE'!$AB$26+'TE BF'!$AB$26+'TE CVA'!$AB$26)*(1-CUSTOS!$M$39),2)</f>
        <v>109.44</v>
      </c>
      <c r="T18" s="35">
        <v>0</v>
      </c>
      <c r="U18" s="35">
        <f ca="1">ROUND('TUSD BE'!$AM$35*(1-CUSTOS!$M$39),2)</f>
        <v>1510.17</v>
      </c>
      <c r="V18" s="35">
        <f>ROUND('TE BE'!$AB$26*(1-CUSTOS!$M$39),2)</f>
        <v>111.63</v>
      </c>
    </row>
    <row r="19" spans="12:22" ht="11.25" customHeight="1" x14ac:dyDescent="0.25">
      <c r="L19" s="119"/>
      <c r="M19" s="120"/>
      <c r="N19" s="120"/>
      <c r="O19" s="120"/>
      <c r="P19" s="37" t="s">
        <v>674</v>
      </c>
      <c r="Q19" s="35">
        <v>0</v>
      </c>
      <c r="R19" s="35">
        <f ca="1">ROUND(('TUSD BE'!$AM$36+'TUSD BF'!$AM$36+'TUSD CVA'!$AM$36)*(1-CUSTOS!$M$39),2)</f>
        <v>468.48</v>
      </c>
      <c r="S19" s="35">
        <f>ROUND(('TE BE'!$AB$27+'TE BF'!$AB$27+'TE CVA'!$AB$27)*(1-CUSTOS!$M$39),2)</f>
        <v>109.44</v>
      </c>
      <c r="T19" s="35">
        <v>0</v>
      </c>
      <c r="U19" s="35">
        <f ca="1">ROUND('TUSD BE'!$AM$36*(1-CUSTOS!$M$39),2)</f>
        <v>586.28</v>
      </c>
      <c r="V19" s="35">
        <f>ROUND('TE BE'!$AB$27*(1-CUSTOS!$M$39),2)</f>
        <v>111.63</v>
      </c>
    </row>
    <row r="20" spans="12:22" ht="11.25" customHeight="1" x14ac:dyDescent="0.25">
      <c r="L20" s="119"/>
      <c r="M20" s="37" t="s">
        <v>682</v>
      </c>
      <c r="N20" s="37" t="s">
        <v>685</v>
      </c>
      <c r="O20" s="37" t="s">
        <v>687</v>
      </c>
      <c r="P20" s="37" t="s">
        <v>676</v>
      </c>
      <c r="Q20" s="35">
        <v>0</v>
      </c>
      <c r="R20" s="35">
        <f ca="1">ROUND(('TUSD BE'!$AM$42+'TUSD BF'!$AM$42+'TUSD CVA'!$AM$42)*(1-CUSTOS!$M$39),2)</f>
        <v>629.88</v>
      </c>
      <c r="S20" s="35">
        <f>ROUND(('TE BE'!$AB$33+'TE BF'!$AB$33+'TE CVA'!$AB$33)*(1-CUSTOS!$M$39),2)</f>
        <v>109.44</v>
      </c>
      <c r="T20" s="35">
        <v>0</v>
      </c>
      <c r="U20" s="35">
        <f ca="1">ROUND(('TUSD BE'!$AM$42)*(1-CUSTOS!$M$39),2)</f>
        <v>803.68</v>
      </c>
      <c r="V20" s="35">
        <f>ROUND(('TE BE'!$AB$33)*(1-CUSTOS!$M$39),2)</f>
        <v>111.63</v>
      </c>
    </row>
    <row r="21" spans="12:22" ht="11.25" customHeight="1" x14ac:dyDescent="0.25">
      <c r="L21" s="119"/>
      <c r="M21" s="37" t="s">
        <v>684</v>
      </c>
      <c r="N21" s="37" t="s">
        <v>685</v>
      </c>
      <c r="O21" s="37" t="s">
        <v>687</v>
      </c>
      <c r="P21" s="37" t="s">
        <v>676</v>
      </c>
      <c r="Q21" s="35">
        <v>0</v>
      </c>
      <c r="R21" s="35">
        <f ca="1">ROUND(('TUSD BE'!$AM$33+'TUSD BF'!$AM$33+'TUSD CVA'!$AM$33)*(1-CUSTOS!$M$39),2)</f>
        <v>629.88</v>
      </c>
      <c r="S21" s="35">
        <f>ROUND(('TE BE'!$AB$24+'TE BF'!$AB$24+'TE CVA'!$AB$24)*(1-CUSTOS!$M$39),2)</f>
        <v>109.44</v>
      </c>
      <c r="T21" s="35">
        <v>0</v>
      </c>
      <c r="U21" s="35">
        <f ca="1">ROUND(('TUSD BE'!$AM$33)*(1-CUSTOS!$M$39),2)</f>
        <v>803.68</v>
      </c>
      <c r="V21" s="35">
        <f>ROUND(('TE BE'!$AB$24)*(1-CUSTOS!$M$39),2)</f>
        <v>111.63</v>
      </c>
    </row>
    <row r="22" spans="12:22" ht="11.25" customHeight="1" x14ac:dyDescent="0.25">
      <c r="L22" s="119"/>
      <c r="M22" s="118" t="s">
        <v>679</v>
      </c>
      <c r="N22" s="118" t="s">
        <v>685</v>
      </c>
      <c r="O22" s="118" t="s">
        <v>688</v>
      </c>
      <c r="P22" s="37" t="s">
        <v>673</v>
      </c>
      <c r="Q22" s="35">
        <v>0</v>
      </c>
      <c r="R22" s="35">
        <f ca="1">ROUND(('TUSD BE'!$AM$38+'TUSD BF'!$AM$38+'TUSD CVA'!$AM$38)*(1-CUSTOS!$M$40),2)</f>
        <v>1801.12</v>
      </c>
      <c r="S22" s="35">
        <f>ROUND(('TE BE'!$AB$29+'TE BF'!$AB$29+'TE CVA'!$AB$29)*(1-CUSTOS!$M$40),2)</f>
        <v>107.11</v>
      </c>
      <c r="T22" s="35">
        <v>0</v>
      </c>
      <c r="U22" s="35">
        <f ca="1">ROUND('TUSD BE'!$AM$38*(1-CUSTOS!$M$40),2)</f>
        <v>2382.27</v>
      </c>
      <c r="V22" s="35">
        <f>ROUND('TE BE'!$AB$29*(1-CUSTOS!$M$40),2)</f>
        <v>109.25</v>
      </c>
    </row>
    <row r="23" spans="12:22" ht="11.25" customHeight="1" x14ac:dyDescent="0.25">
      <c r="L23" s="119"/>
      <c r="M23" s="119"/>
      <c r="N23" s="119"/>
      <c r="O23" s="119"/>
      <c r="P23" s="37" t="s">
        <v>681</v>
      </c>
      <c r="Q23" s="35">
        <v>0</v>
      </c>
      <c r="R23" s="35">
        <f ca="1">ROUND(('TUSD BE'!$AM$39+'TUSD BF'!$AM$39+'TUSD CVA'!$AM$39)*(1-CUSTOS!$M$40),2)</f>
        <v>1129.81</v>
      </c>
      <c r="S23" s="35">
        <f>ROUND(('TE BE'!$AB$30+'TE BF'!$AB$30+'TE CVA'!$AB$30)*(1-CUSTOS!$M$40),2)</f>
        <v>107.11</v>
      </c>
      <c r="T23" s="35">
        <v>0</v>
      </c>
      <c r="U23" s="35">
        <f ca="1">ROUND('TUSD BE'!$AM$39*(1-CUSTOS!$M$40),2)</f>
        <v>1478.04</v>
      </c>
      <c r="V23" s="35">
        <f>ROUND('TE BE'!$AB$30*(1-CUSTOS!$M$40),2)</f>
        <v>109.25</v>
      </c>
    </row>
    <row r="24" spans="12:22" ht="11.25" customHeight="1" x14ac:dyDescent="0.25">
      <c r="L24" s="119"/>
      <c r="M24" s="120"/>
      <c r="N24" s="120"/>
      <c r="O24" s="120"/>
      <c r="P24" s="37" t="s">
        <v>674</v>
      </c>
      <c r="Q24" s="35">
        <v>0</v>
      </c>
      <c r="R24" s="35">
        <f ca="1">ROUND(('TUSD BE'!$AM$40+'TUSD BF'!$AM$40+'TUSD CVA'!$AM$40)*(1-CUSTOS!$M$40),2)</f>
        <v>458.51</v>
      </c>
      <c r="S24" s="35">
        <f>ROUND(('TE BE'!$AB$31+'TE BF'!$AB$31+'TE CVA'!$AB$31)*(1-CUSTOS!$M$40),2)</f>
        <v>107.11</v>
      </c>
      <c r="T24" s="35">
        <v>0</v>
      </c>
      <c r="U24" s="35">
        <f ca="1">ROUND('TUSD BE'!$AM$40*(1-CUSTOS!$M$40),2)</f>
        <v>573.80999999999995</v>
      </c>
      <c r="V24" s="35">
        <f>ROUND('TE BE'!$AB$31*(1-CUSTOS!$M$40),2)</f>
        <v>109.25</v>
      </c>
    </row>
    <row r="25" spans="12:22" ht="11.25" customHeight="1" x14ac:dyDescent="0.25">
      <c r="L25" s="119"/>
      <c r="M25" s="37" t="s">
        <v>682</v>
      </c>
      <c r="N25" s="37" t="s">
        <v>685</v>
      </c>
      <c r="O25" s="37" t="s">
        <v>688</v>
      </c>
      <c r="P25" s="37" t="s">
        <v>676</v>
      </c>
      <c r="Q25" s="35">
        <v>0</v>
      </c>
      <c r="R25" s="35">
        <f ca="1">ROUND(('TUSD BE'!$AM$42+'TUSD BF'!$AM$42+'TUSD CVA'!$AM$42)*(1-CUSTOS!$M$40),2)</f>
        <v>616.48</v>
      </c>
      <c r="S25" s="35">
        <f>ROUND(('TE BE'!$AB$33+'TE BF'!$AB$33+'TE CVA'!$AB$33)*(1-CUSTOS!$M$40),2)</f>
        <v>107.11</v>
      </c>
      <c r="T25" s="35">
        <v>0</v>
      </c>
      <c r="U25" s="35">
        <f ca="1">ROUND(('TUSD BE'!$AM$42)*(1-CUSTOS!$M$40),2)</f>
        <v>786.59</v>
      </c>
      <c r="V25" s="35">
        <f>ROUND(('TE BE'!$AB$33)*(1-CUSTOS!$M$40),2)</f>
        <v>109.25</v>
      </c>
    </row>
    <row r="26" spans="12:22" ht="11.25" customHeight="1" x14ac:dyDescent="0.25">
      <c r="L26" s="120"/>
      <c r="M26" s="37" t="s">
        <v>684</v>
      </c>
      <c r="N26" s="37" t="s">
        <v>685</v>
      </c>
      <c r="O26" s="37" t="s">
        <v>688</v>
      </c>
      <c r="P26" s="37" t="s">
        <v>676</v>
      </c>
      <c r="Q26" s="35">
        <v>0</v>
      </c>
      <c r="R26" s="35">
        <f ca="1">ROUND(('TUSD BE'!$AM$33+'TUSD BF'!$AM$33+'TUSD CVA'!$AM$33)*(1-CUSTOS!$M$40),2)</f>
        <v>616.48</v>
      </c>
      <c r="S26" s="35">
        <f>ROUND(('TE BE'!$AB$24+'TE BF'!$AB$24+'TE CVA'!$AB$24)*(1-CUSTOS!$M$40),2)</f>
        <v>107.11</v>
      </c>
      <c r="T26" s="35">
        <v>0</v>
      </c>
      <c r="U26" s="35">
        <f ca="1">ROUND(('TUSD BE'!$AM$33)*(1-CUSTOS!$M$40),2)</f>
        <v>786.59</v>
      </c>
      <c r="V26" s="35">
        <f>ROUND(('TE BE'!$AB$24)*(1-CUSTOS!$M$40),2)</f>
        <v>109.25</v>
      </c>
    </row>
    <row r="27" spans="12:22" ht="11.25" customHeight="1" x14ac:dyDescent="0.25">
      <c r="L27" s="118" t="s">
        <v>37</v>
      </c>
      <c r="M27" s="118" t="s">
        <v>679</v>
      </c>
      <c r="N27" s="118" t="s">
        <v>676</v>
      </c>
      <c r="O27" s="118" t="s">
        <v>676</v>
      </c>
      <c r="P27" s="37" t="s">
        <v>673</v>
      </c>
      <c r="Q27" s="35">
        <v>0</v>
      </c>
      <c r="R27" s="35">
        <f ca="1">ROUND(('TUSD BE'!$AM$45+'TUSD BF'!$AM$45+'TUSD CVA'!$AM$45)*(1-CUSTOS!$M$31),2)</f>
        <v>1984.61</v>
      </c>
      <c r="S27" s="35">
        <f>ROUND(('TE BE'!$AB$36+'TE BF'!$AB$36+'TE CVA'!$AB$36)*(1-CUSTOS!$M$31),2)</f>
        <v>116.43</v>
      </c>
      <c r="T27" s="35">
        <v>0</v>
      </c>
      <c r="U27" s="35">
        <f ca="1">ROUND('TUSD BE'!$AM$45*(1-CUSTOS!$M$31),2)</f>
        <v>2625.61</v>
      </c>
      <c r="V27" s="35">
        <f>ROUND('TE BE'!$AB$36*(1-CUSTOS!$M$31),2)</f>
        <v>118.75</v>
      </c>
    </row>
    <row r="28" spans="12:22" ht="11.25" customHeight="1" x14ac:dyDescent="0.25">
      <c r="L28" s="119"/>
      <c r="M28" s="119"/>
      <c r="N28" s="119"/>
      <c r="O28" s="119"/>
      <c r="P28" s="37" t="s">
        <v>681</v>
      </c>
      <c r="Q28" s="35">
        <v>0</v>
      </c>
      <c r="R28" s="35">
        <f ca="1">ROUND(('TUSD BE'!$AM$46+'TUSD BF'!$AM$46+'TUSD CVA'!$AM$46)*(1-CUSTOS!$M$31),2)</f>
        <v>1244.1099999999999</v>
      </c>
      <c r="S28" s="35">
        <f>ROUND(('TE BE'!$AB$37+'TE BF'!$AB$37+'TE CVA'!$AB$37)*(1-CUSTOS!$M$31),2)</f>
        <v>116.43</v>
      </c>
      <c r="T28" s="35">
        <v>0</v>
      </c>
      <c r="U28" s="35">
        <f ca="1">ROUND('TUSD BE'!$AM$46*(1-CUSTOS!$M$31),2)</f>
        <v>1628.2</v>
      </c>
      <c r="V28" s="35">
        <f>ROUND('TE BE'!$AB$37*(1-CUSTOS!$M$31),2)</f>
        <v>118.75</v>
      </c>
    </row>
    <row r="29" spans="12:22" ht="11.25" customHeight="1" x14ac:dyDescent="0.25">
      <c r="L29" s="119"/>
      <c r="M29" s="120"/>
      <c r="N29" s="120"/>
      <c r="O29" s="120"/>
      <c r="P29" s="37" t="s">
        <v>674</v>
      </c>
      <c r="Q29" s="35">
        <v>0</v>
      </c>
      <c r="R29" s="35">
        <f ca="1">ROUND(('TUSD BE'!$AM$47+'TUSD BF'!$AM$47+'TUSD CVA'!$AM$47)*(1-CUSTOS!$M$31),2)</f>
        <v>503.73</v>
      </c>
      <c r="S29" s="35">
        <f>ROUND(('TE BE'!$AB$38+'TE BF'!$AB$38+'TE CVA'!$AB$38)*(1-CUSTOS!$M$31),2)</f>
        <v>116.43</v>
      </c>
      <c r="T29" s="35">
        <v>0</v>
      </c>
      <c r="U29" s="35">
        <f ca="1">ROUND('TUSD BE'!$AM$47*(1-CUSTOS!$M$31),2)</f>
        <v>630.91999999999996</v>
      </c>
      <c r="V29" s="35">
        <f>ROUND('TE BE'!$AB$38*(1-CUSTOS!$M$31),2)</f>
        <v>118.75</v>
      </c>
    </row>
    <row r="30" spans="12:22" ht="11.25" customHeight="1" x14ac:dyDescent="0.25">
      <c r="L30" s="119"/>
      <c r="M30" s="37" t="s">
        <v>682</v>
      </c>
      <c r="N30" s="37" t="s">
        <v>676</v>
      </c>
      <c r="O30" s="37" t="s">
        <v>676</v>
      </c>
      <c r="P30" s="37" t="s">
        <v>676</v>
      </c>
      <c r="Q30" s="35">
        <v>0</v>
      </c>
      <c r="R30" s="35">
        <f ca="1">ROUND(('TUSD BE'!$AM$49+'TUSD BF'!$AM$49+'TUSD CVA'!$AM$49)*(1-CUSTOS!$M$31),2)</f>
        <v>670.08</v>
      </c>
      <c r="S30" s="35">
        <f>ROUND(('TE BE'!$AB$40+'TE BF'!$AB$40+'TE CVA'!$AB$40)*(1-CUSTOS!$M$31),2)</f>
        <v>116.43</v>
      </c>
      <c r="T30" s="35">
        <v>0</v>
      </c>
      <c r="U30" s="35">
        <f ca="1">ROUND(('TUSD BE'!$AM$49)*(1-CUSTOS!$M$31),2)</f>
        <v>854.98</v>
      </c>
      <c r="V30" s="35">
        <f>ROUND(('TE BE'!$AB$40)*(1-CUSTOS!$M$31),2)</f>
        <v>118.75</v>
      </c>
    </row>
    <row r="31" spans="12:22" ht="11.25" customHeight="1" x14ac:dyDescent="0.25">
      <c r="L31" s="120"/>
      <c r="M31" s="37" t="s">
        <v>684</v>
      </c>
      <c r="N31" s="37" t="s">
        <v>676</v>
      </c>
      <c r="O31" s="37" t="s">
        <v>676</v>
      </c>
      <c r="P31" s="37" t="s">
        <v>676</v>
      </c>
      <c r="Q31" s="35">
        <v>0</v>
      </c>
      <c r="R31" s="35">
        <f ca="1">ROUND(('TUSD BE'!$AM$48+'TUSD BF'!$AM$48+'TUSD CVA'!$AM$48)*(1-CUSTOS!$M$31),2)</f>
        <v>670.08</v>
      </c>
      <c r="S31" s="35">
        <f>ROUND(('TE BE'!$AB$39+'TE BF'!$AB$39+'TE CVA'!$AB$39)*(1-CUSTOS!$M$31),2)</f>
        <v>116.43</v>
      </c>
      <c r="T31" s="35">
        <v>0</v>
      </c>
      <c r="U31" s="35">
        <f ca="1">ROUND(('TUSD BE'!$AM$48)*(1-CUSTOS!$M$31),2)</f>
        <v>854.98</v>
      </c>
      <c r="V31" s="35">
        <f>ROUND(('TE BE'!$AB$39)*(1-CUSTOS!$M$31),2)</f>
        <v>118.75</v>
      </c>
    </row>
    <row r="32" spans="12:22" ht="11.25" customHeight="1" x14ac:dyDescent="0.25">
      <c r="L32" s="118" t="s">
        <v>44</v>
      </c>
      <c r="M32" s="118" t="s">
        <v>684</v>
      </c>
      <c r="N32" s="118" t="s">
        <v>689</v>
      </c>
      <c r="O32" s="37" t="s">
        <v>690</v>
      </c>
      <c r="P32" s="37" t="s">
        <v>676</v>
      </c>
      <c r="Q32" s="35">
        <v>0</v>
      </c>
      <c r="R32" s="35">
        <f ca="1">ROUND(('TUSD BE'!$AM$50+'TUSD BF'!$AM$50+'TUSD CVA'!$AM$50),2)</f>
        <v>368.55</v>
      </c>
      <c r="S32" s="35">
        <f>ROUND(('TE BE'!$AB$41+'TE BF'!$AB$41+'TE CVA'!$AB$41),2)</f>
        <v>64.040000000000006</v>
      </c>
      <c r="T32" s="35">
        <v>0</v>
      </c>
      <c r="U32" s="35">
        <f ca="1">ROUND(('TUSD BE'!$AM$50),2)</f>
        <v>470.24</v>
      </c>
      <c r="V32" s="35">
        <f>ROUND(('TE BE'!$AB$41),2)</f>
        <v>65.31</v>
      </c>
    </row>
    <row r="33" spans="12:22" ht="11.25" customHeight="1" x14ac:dyDescent="0.25">
      <c r="L33" s="120"/>
      <c r="M33" s="120"/>
      <c r="N33" s="120"/>
      <c r="O33" s="37" t="s">
        <v>691</v>
      </c>
      <c r="P33" s="37" t="s">
        <v>676</v>
      </c>
      <c r="Q33" s="35">
        <v>0</v>
      </c>
      <c r="R33" s="35">
        <f ca="1">ROUND(('TUSD BE'!$AM$51+'TUSD BF'!$AM$51+'TUSD CVA'!$AM$51),2)</f>
        <v>402.05</v>
      </c>
      <c r="S33" s="35">
        <f>ROUND(('TE BE'!$AB$42+'TE BF'!$AB$42+'TE CVA'!$AB$42),2)</f>
        <v>69.86</v>
      </c>
      <c r="T33" s="35">
        <v>0</v>
      </c>
      <c r="U33" s="35">
        <f ca="1">ROUND(('TUSD BE'!$AM$51),2)</f>
        <v>512.99</v>
      </c>
      <c r="V33" s="35">
        <f>ROUND(('TE BE'!$AB$42),2)</f>
        <v>71.25</v>
      </c>
    </row>
    <row r="34" spans="12:22" ht="11.25" customHeight="1" x14ac:dyDescent="0.25">
      <c r="L34" s="118" t="s">
        <v>77</v>
      </c>
      <c r="M34" s="118" t="s">
        <v>692</v>
      </c>
      <c r="N34" s="37" t="s">
        <v>78</v>
      </c>
      <c r="O34" s="37" t="s">
        <v>676</v>
      </c>
      <c r="P34" s="37" t="s">
        <v>676</v>
      </c>
      <c r="Q34" s="35">
        <f ca="1">ROUND(('TUSD BE'!$AM$15+'TUSD BF'!$AM$15+'TUSD CVA'!$AM$15),2)</f>
        <v>4.33</v>
      </c>
      <c r="R34" s="35">
        <v>0</v>
      </c>
      <c r="S34" s="35">
        <v>0</v>
      </c>
      <c r="T34" s="35">
        <f ca="1">ROUND(('TUSD BE'!$AM$15),2)</f>
        <v>6.28</v>
      </c>
      <c r="U34" s="35">
        <v>0</v>
      </c>
      <c r="V34" s="35">
        <v>0</v>
      </c>
    </row>
    <row r="35" spans="12:22" ht="11.25" customHeight="1" x14ac:dyDescent="0.25">
      <c r="L35" s="120"/>
      <c r="M35" s="120"/>
      <c r="N35" s="37" t="s">
        <v>79</v>
      </c>
      <c r="O35" s="37" t="s">
        <v>676</v>
      </c>
      <c r="P35" s="37" t="s">
        <v>676</v>
      </c>
      <c r="Q35" s="35">
        <f ca="1">ROUND(('TUSD BE'!$AM$16+'TUSD BF'!$AM$16+'TUSD CVA'!$AM$16),2)</f>
        <v>19.399999999999999</v>
      </c>
      <c r="R35" s="35">
        <v>0</v>
      </c>
      <c r="S35" s="35">
        <v>0</v>
      </c>
      <c r="T35" s="35">
        <f ca="1">ROUND(('TUSD BE'!$AM$16),2)</f>
        <v>28.13</v>
      </c>
      <c r="U35" s="35">
        <v>0</v>
      </c>
      <c r="V35" s="35">
        <v>0</v>
      </c>
    </row>
  </sheetData>
  <mergeCells count="51">
    <mergeCell ref="O5:O7"/>
    <mergeCell ref="O12:O14"/>
    <mergeCell ref="O17:O19"/>
    <mergeCell ref="O22:O24"/>
    <mergeCell ref="O27:O29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L27:L31"/>
    <mergeCell ref="L32:L33"/>
    <mergeCell ref="L34:L35"/>
    <mergeCell ref="M32:M33"/>
    <mergeCell ref="M34:M35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N5:N7"/>
    <mergeCell ref="N12:N14"/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4652-3A24-49DB-8349-1F3B5D3146C6}">
  <dimension ref="A1:AN241"/>
  <sheetViews>
    <sheetView showGridLines="0" topLeftCell="W1" workbookViewId="0">
      <selection activeCell="AH28" sqref="AH28"/>
    </sheetView>
  </sheetViews>
  <sheetFormatPr defaultRowHeight="11.25" customHeight="1" x14ac:dyDescent="0.25"/>
  <cols>
    <col min="1" max="1" width="19.140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8" width="10.28515625" style="4" bestFit="1" customWidth="1"/>
    <col min="9" max="9" width="8.7109375" style="5" bestFit="1" customWidth="1"/>
    <col min="10" max="10" width="10.140625" style="6" bestFit="1" customWidth="1"/>
    <col min="11" max="11" width="10.5703125" style="6" bestFit="1" customWidth="1"/>
    <col min="12" max="12" width="9.42578125" style="6" bestFit="1" customWidth="1"/>
    <col min="13" max="13" width="13.7109375" style="6" bestFit="1" customWidth="1"/>
    <col min="14" max="14" width="14.140625" style="6" bestFit="1" customWidth="1"/>
    <col min="15" max="15" width="12.85546875" style="6" bestFit="1" customWidth="1"/>
    <col min="16" max="16" width="7" style="6" bestFit="1" customWidth="1"/>
    <col min="17" max="17" width="9.28515625" style="4" bestFit="1" customWidth="1"/>
    <col min="18" max="18" width="18.85546875" style="4" bestFit="1" customWidth="1"/>
    <col min="19" max="19" width="20.28515625" style="4" bestFit="1" customWidth="1"/>
    <col min="20" max="20" width="18.140625" style="4" bestFit="1" customWidth="1"/>
    <col min="21" max="21" width="17" style="4" bestFit="1" customWidth="1"/>
    <col min="22" max="22" width="18.5703125" style="4" bestFit="1" customWidth="1"/>
    <col min="23" max="23" width="16.28515625" style="4" bestFit="1" customWidth="1"/>
    <col min="24" max="24" width="16.7109375" style="4" bestFit="1" customWidth="1"/>
    <col min="25" max="25" width="18.28515625" style="4" bestFit="1" customWidth="1"/>
    <col min="26" max="26" width="16" style="4" bestFit="1" customWidth="1"/>
    <col min="27" max="27" width="16.85546875" style="4" bestFit="1" customWidth="1"/>
    <col min="28" max="28" width="18.42578125" style="4" bestFit="1" customWidth="1"/>
    <col min="29" max="29" width="16.140625" style="4" bestFit="1" customWidth="1"/>
    <col min="30" max="30" width="17.28515625" style="4" bestFit="1" customWidth="1"/>
    <col min="31" max="31" width="21.5703125" style="4" bestFit="1" customWidth="1"/>
    <col min="32" max="32" width="11.42578125" style="4" bestFit="1" customWidth="1"/>
    <col min="33" max="33" width="12.85546875" style="4" bestFit="1" customWidth="1"/>
    <col min="34" max="34" width="10.7109375" style="4" bestFit="1" customWidth="1"/>
    <col min="35" max="35" width="11.7109375" style="4" bestFit="1" customWidth="1"/>
    <col min="36" max="36" width="16" style="4" bestFit="1" customWidth="1"/>
    <col min="37" max="37" width="9.140625" style="4"/>
    <col min="38" max="38" width="8.7109375" style="4" bestFit="1" customWidth="1"/>
    <col min="39" max="39" width="5.5703125" style="4" bestFit="1" customWidth="1"/>
    <col min="40" max="40" width="14.7109375" style="4" bestFit="1" customWidth="1"/>
    <col min="41" max="16384" width="9.140625" style="4"/>
  </cols>
  <sheetData>
    <row r="1" spans="1:40" s="1" customFormat="1" ht="11.25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59" t="s">
        <v>8</v>
      </c>
      <c r="J1" s="36" t="s">
        <v>639</v>
      </c>
      <c r="K1" s="36" t="s">
        <v>640</v>
      </c>
      <c r="L1" s="36" t="s">
        <v>641</v>
      </c>
      <c r="M1" s="36" t="s">
        <v>642</v>
      </c>
      <c r="N1" s="36" t="s">
        <v>643</v>
      </c>
      <c r="O1" s="36" t="s">
        <v>644</v>
      </c>
      <c r="P1" s="7"/>
      <c r="Q1" s="112" t="s">
        <v>645</v>
      </c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L1" s="40" t="s">
        <v>666</v>
      </c>
      <c r="AM1" s="40" t="s">
        <v>53</v>
      </c>
      <c r="AN1" s="40" t="s">
        <v>667</v>
      </c>
    </row>
    <row r="2" spans="1:40" ht="11.25" customHeight="1" x14ac:dyDescent="0.2">
      <c r="A2" s="41" t="s">
        <v>21</v>
      </c>
      <c r="B2" s="41" t="s">
        <v>39</v>
      </c>
      <c r="C2" s="41" t="s">
        <v>40</v>
      </c>
      <c r="D2" s="41" t="s">
        <v>38</v>
      </c>
      <c r="E2" s="41" t="s">
        <v>25</v>
      </c>
      <c r="F2" s="41" t="s">
        <v>25</v>
      </c>
      <c r="G2" s="41" t="s">
        <v>25</v>
      </c>
      <c r="H2" s="41" t="s">
        <v>35</v>
      </c>
      <c r="I2" s="60">
        <v>44378</v>
      </c>
      <c r="J2" s="61">
        <f>EFEITO!$J$2*EFEITO!$Y$2</f>
        <v>0</v>
      </c>
      <c r="K2" s="61">
        <f ca="1">EFEITO!$L$2*EFEITO!$Z$2</f>
        <v>4844.6049444405953</v>
      </c>
      <c r="L2" s="61">
        <f>EFEITO!$N$2*EFEITO!$AA$2</f>
        <v>5806.6374629171041</v>
      </c>
      <c r="M2" s="61">
        <f>$J$2-EFEITO!$K$2*EFEITO!$Y$2</f>
        <v>0</v>
      </c>
      <c r="N2" s="61">
        <f ca="1">$K$2-EFEITO!$M$2*EFEITO!$Z$2</f>
        <v>0</v>
      </c>
      <c r="O2" s="61">
        <f>$L$2-EFEITO!$O$2*EFEITO!$AA$2</f>
        <v>0</v>
      </c>
      <c r="P2" s="45"/>
      <c r="Q2" s="34" t="s">
        <v>56</v>
      </c>
      <c r="R2" s="34" t="s">
        <v>647</v>
      </c>
      <c r="S2" s="34" t="s">
        <v>648</v>
      </c>
      <c r="T2" s="34" t="s">
        <v>649</v>
      </c>
      <c r="U2" s="34" t="s">
        <v>650</v>
      </c>
      <c r="V2" s="34" t="s">
        <v>651</v>
      </c>
      <c r="W2" s="34" t="s">
        <v>652</v>
      </c>
      <c r="X2" s="62" t="s">
        <v>653</v>
      </c>
      <c r="Y2" s="62" t="s">
        <v>654</v>
      </c>
      <c r="Z2" s="62" t="s">
        <v>655</v>
      </c>
      <c r="AA2" s="62" t="s">
        <v>656</v>
      </c>
      <c r="AB2" s="62" t="s">
        <v>657</v>
      </c>
      <c r="AC2" s="62" t="s">
        <v>658</v>
      </c>
      <c r="AD2" s="62" t="s">
        <v>659</v>
      </c>
      <c r="AE2" s="62" t="s">
        <v>660</v>
      </c>
      <c r="AF2" s="62" t="s">
        <v>661</v>
      </c>
      <c r="AG2" s="62" t="s">
        <v>662</v>
      </c>
      <c r="AH2" s="62" t="s">
        <v>663</v>
      </c>
      <c r="AI2" s="62" t="s">
        <v>664</v>
      </c>
      <c r="AJ2" s="62" t="s">
        <v>665</v>
      </c>
      <c r="AL2" s="41"/>
      <c r="AM2" s="41"/>
      <c r="AN2" s="41"/>
    </row>
    <row r="3" spans="1:40" ht="11.25" customHeight="1" x14ac:dyDescent="0.2">
      <c r="A3" s="41" t="s">
        <v>21</v>
      </c>
      <c r="B3" s="41" t="s">
        <v>39</v>
      </c>
      <c r="C3" s="41" t="s">
        <v>40</v>
      </c>
      <c r="D3" s="41" t="s">
        <v>38</v>
      </c>
      <c r="E3" s="41" t="s">
        <v>25</v>
      </c>
      <c r="F3" s="41" t="s">
        <v>25</v>
      </c>
      <c r="G3" s="41" t="s">
        <v>25</v>
      </c>
      <c r="H3" s="41" t="s">
        <v>35</v>
      </c>
      <c r="I3" s="60">
        <v>44409</v>
      </c>
      <c r="J3" s="61">
        <f>EFEITO!$J$3*EFEITO!$Y$3</f>
        <v>0</v>
      </c>
      <c r="K3" s="61">
        <f ca="1">EFEITO!$L$3*EFEITO!$Z$3</f>
        <v>5757.0299889161734</v>
      </c>
      <c r="L3" s="61">
        <f>EFEITO!$N$3*EFEITO!$AA$3</f>
        <v>6900.2501529333531</v>
      </c>
      <c r="M3" s="61">
        <f>$J$3-EFEITO!$K$3*EFEITO!$Y$3</f>
        <v>0</v>
      </c>
      <c r="N3" s="61">
        <f ca="1">$K$3-EFEITO!$M$3*EFEITO!$Z$3</f>
        <v>0</v>
      </c>
      <c r="O3" s="61">
        <f>$L$3-EFEITO!$O$3*EFEITO!$AA$3</f>
        <v>0</v>
      </c>
      <c r="P3" s="45"/>
      <c r="Q3" s="61" t="s">
        <v>646</v>
      </c>
      <c r="R3" s="61">
        <f>SUMIF($B$2:$B$241,$Q$3,$J$2:$J$241)</f>
        <v>0</v>
      </c>
      <c r="S3" s="61">
        <f>SUMIF($B$2:$B$241,$Q$3,$K$2:$K$241)</f>
        <v>0</v>
      </c>
      <c r="T3" s="61">
        <f>SUMIF($B$2:$B$241,$Q$3,$L$2:$L$241)</f>
        <v>0</v>
      </c>
      <c r="U3" s="61">
        <f>SUMIF($B$2:$B$241,$Q$3,$M$2:$M$241)</f>
        <v>0</v>
      </c>
      <c r="V3" s="61">
        <f>SUMIF($B$2:$B$241,$Q$3,$N$2:$N$241)</f>
        <v>0</v>
      </c>
      <c r="W3" s="61">
        <f>SUMIF($B$2:$B$241,$Q$3,$O$2:$O$241)</f>
        <v>0</v>
      </c>
      <c r="X3" s="42">
        <f>$R$3-$U$3</f>
        <v>0</v>
      </c>
      <c r="Y3" s="42">
        <f>$S$3-$V$3</f>
        <v>0</v>
      </c>
      <c r="Z3" s="42">
        <f>$T$3-$W$3</f>
        <v>0</v>
      </c>
      <c r="AA3" s="42">
        <f>SUMIF(EFEITO!$B$2:$B$241,$Q$3,EFEITO!$AE$2:$AE$241)</f>
        <v>0</v>
      </c>
      <c r="AB3" s="42">
        <f>SUMIF(EFEITO!$B$2:$B$241,$Q$3,EFEITO!$AF$2:$AF$241)</f>
        <v>0</v>
      </c>
      <c r="AC3" s="42">
        <f>SUMIF(EFEITO!$B$2:$B$241,$Q$3,EFEITO!$AG$2:$AH$241)</f>
        <v>0</v>
      </c>
      <c r="AD3" s="42">
        <f>SUMIF(SUBSIDIO!$B$2:$B$241,$Q$3,SUBSIDIO!$AD$2:$AD$241)</f>
        <v>0</v>
      </c>
      <c r="AE3" s="42">
        <f>SUMIF(SUBSIDIO!$B$2:$B$241,$Q$3,SUBSIDIO!$AE$2:$AE$241)</f>
        <v>0</v>
      </c>
      <c r="AF3" s="42" t="str">
        <f>IF(ABS($X$3-$AA$3)&lt;0.01,"OK","ERRO")</f>
        <v>OK</v>
      </c>
      <c r="AG3" s="42" t="str">
        <f>IF(ABS($Y$3-$AB$3)&lt;0.01,"OK","ERRO")</f>
        <v>OK</v>
      </c>
      <c r="AH3" s="42" t="str">
        <f>IF(ABS($Z$3-$AC$3)&lt;0.01,"OK","ERRO")</f>
        <v>OK</v>
      </c>
      <c r="AI3" s="42" t="str">
        <f>IF(ABS($U$3-$AD$3)&lt;0.01,"OK","ERRO")</f>
        <v>OK</v>
      </c>
      <c r="AJ3" s="42" t="str">
        <f>IF(ABS(($V$3+$W$3)-$AE$3)&lt;0.01,"OK","ERRO")</f>
        <v>OK</v>
      </c>
    </row>
    <row r="4" spans="1:40" ht="11.25" customHeight="1" x14ac:dyDescent="0.2">
      <c r="A4" s="41" t="s">
        <v>21</v>
      </c>
      <c r="B4" s="41" t="s">
        <v>39</v>
      </c>
      <c r="C4" s="41" t="s">
        <v>40</v>
      </c>
      <c r="D4" s="41" t="s">
        <v>38</v>
      </c>
      <c r="E4" s="41" t="s">
        <v>25</v>
      </c>
      <c r="F4" s="41" t="s">
        <v>25</v>
      </c>
      <c r="G4" s="41" t="s">
        <v>25</v>
      </c>
      <c r="H4" s="41" t="s">
        <v>35</v>
      </c>
      <c r="I4" s="60">
        <v>44440</v>
      </c>
      <c r="J4" s="61">
        <f>EFEITO!$J$4*EFEITO!$Y$4</f>
        <v>0</v>
      </c>
      <c r="K4" s="61">
        <f ca="1">EFEITO!$L$4*EFEITO!$Z$4</f>
        <v>8158.2047652806814</v>
      </c>
      <c r="L4" s="61">
        <f>EFEITO!$N$4*EFEITO!$AA$4</f>
        <v>9778.2456905157705</v>
      </c>
      <c r="M4" s="61">
        <f>$J$4-EFEITO!$K$4*EFEITO!$Y$4</f>
        <v>0</v>
      </c>
      <c r="N4" s="61">
        <f ca="1">$K$4-EFEITO!$M$4*EFEITO!$Z$4</f>
        <v>0</v>
      </c>
      <c r="O4" s="61">
        <f>$L$4-EFEITO!$O$4*EFEITO!$AA$4</f>
        <v>0</v>
      </c>
      <c r="P4" s="45"/>
      <c r="Q4" s="61" t="s">
        <v>532</v>
      </c>
      <c r="R4" s="61">
        <f>SUMIF($B$2:$B$241,$Q$4,$J$2:$J$241)</f>
        <v>0</v>
      </c>
      <c r="S4" s="61">
        <f>SUMIF($B$2:$B$241,$Q$4,$K$2:$K$241)</f>
        <v>0</v>
      </c>
      <c r="T4" s="61">
        <f>SUMIF($B$2:$B$241,$Q$4,$L$2:$L$241)</f>
        <v>0</v>
      </c>
      <c r="U4" s="61">
        <f>SUMIF($B$2:$B$241,$Q$4,$M$2:$M$241)</f>
        <v>0</v>
      </c>
      <c r="V4" s="61">
        <f>SUMIF($B$2:$B$241,$Q$4,$N$2:$N$241)</f>
        <v>0</v>
      </c>
      <c r="W4" s="61">
        <f>SUMIF($B$2:$B$241,$Q$4,$O$2:$O$241)</f>
        <v>0</v>
      </c>
      <c r="X4" s="42">
        <f>$R$4-$U$4</f>
        <v>0</v>
      </c>
      <c r="Y4" s="42">
        <f>$S$4-$V$4</f>
        <v>0</v>
      </c>
      <c r="Z4" s="42">
        <f>$T$4-$W$4</f>
        <v>0</v>
      </c>
      <c r="AA4" s="42">
        <f>SUMIF(EFEITO!$B$2:$B$241,$Q$4,EFEITO!$AE$2:$AE$241)</f>
        <v>0</v>
      </c>
      <c r="AB4" s="42">
        <f>SUMIF(EFEITO!$B$2:$B$241,$Q$4,EFEITO!$AF$2:$AF$241)</f>
        <v>0</v>
      </c>
      <c r="AC4" s="42">
        <f>SUMIF(EFEITO!$B$2:$B$241,$Q$4,EFEITO!$AG$2:$AH$241)</f>
        <v>0</v>
      </c>
      <c r="AD4" s="42">
        <f>SUMIF(SUBSIDIO!$B$2:$B$241,$Q$4,SUBSIDIO!$AD$2:$AD$241)</f>
        <v>0</v>
      </c>
      <c r="AE4" s="42">
        <f>SUMIF(SUBSIDIO!$B$2:$B$241,$Q$4,SUBSIDIO!$AE$2:$AE$241)</f>
        <v>0</v>
      </c>
      <c r="AF4" s="42" t="str">
        <f>IF(ABS($X$4-$AA$4)&lt;0.01,"OK","ERRO")</f>
        <v>OK</v>
      </c>
      <c r="AG4" s="42" t="str">
        <f>IF(ABS($Y$4-$AB$4)&lt;0.01,"OK","ERRO")</f>
        <v>OK</v>
      </c>
      <c r="AH4" s="42" t="str">
        <f>IF(ABS($Z$4-$AC$4)&lt;0.01,"OK","ERRO")</f>
        <v>OK</v>
      </c>
      <c r="AI4" s="42" t="str">
        <f>IF(ABS($U$4-$AD$4)&lt;0.01,"OK","ERRO")</f>
        <v>OK</v>
      </c>
      <c r="AJ4" s="42" t="str">
        <f>IF(ABS(($V$4+$W$4)-$AE$4)&lt;0.01,"OK","ERRO")</f>
        <v>OK</v>
      </c>
    </row>
    <row r="5" spans="1:40" ht="11.25" customHeight="1" x14ac:dyDescent="0.2">
      <c r="A5" s="41" t="s">
        <v>21</v>
      </c>
      <c r="B5" s="41" t="s">
        <v>39</v>
      </c>
      <c r="C5" s="41" t="s">
        <v>40</v>
      </c>
      <c r="D5" s="41" t="s">
        <v>38</v>
      </c>
      <c r="E5" s="41" t="s">
        <v>25</v>
      </c>
      <c r="F5" s="41" t="s">
        <v>25</v>
      </c>
      <c r="G5" s="41" t="s">
        <v>25</v>
      </c>
      <c r="H5" s="41" t="s">
        <v>35</v>
      </c>
      <c r="I5" s="60">
        <v>44470</v>
      </c>
      <c r="J5" s="61">
        <f>EFEITO!$J$5*EFEITO!$Y$5</f>
        <v>0</v>
      </c>
      <c r="K5" s="61">
        <f ca="1">EFEITO!$L$5*EFEITO!$Z$5</f>
        <v>1489.7211202041381</v>
      </c>
      <c r="L5" s="61">
        <f>EFEITO!$N$5*EFEITO!$AA$5</f>
        <v>1785.5471323420832</v>
      </c>
      <c r="M5" s="61">
        <f>$J$5-EFEITO!$K$5*EFEITO!$Y$5</f>
        <v>0</v>
      </c>
      <c r="N5" s="61">
        <f ca="1">$K$5-EFEITO!$M$5*EFEITO!$Z$5</f>
        <v>0</v>
      </c>
      <c r="O5" s="61">
        <f>$L$5-EFEITO!$O$5*EFEITO!$AA$5</f>
        <v>0</v>
      </c>
      <c r="P5" s="45"/>
      <c r="Q5" s="61" t="s">
        <v>533</v>
      </c>
      <c r="R5" s="61">
        <f>SUMIF($B$2:$B$241,$Q$5,$J$2:$J$241)</f>
        <v>0</v>
      </c>
      <c r="S5" s="61">
        <f>SUMIF($B$2:$B$241,$Q$5,$K$2:$K$241)</f>
        <v>0</v>
      </c>
      <c r="T5" s="61">
        <f>SUMIF($B$2:$B$241,$Q$5,$L$2:$L$241)</f>
        <v>0</v>
      </c>
      <c r="U5" s="61">
        <f>SUMIF($B$2:$B$241,$Q$5,$M$2:$M$241)</f>
        <v>0</v>
      </c>
      <c r="V5" s="61">
        <f>SUMIF($B$2:$B$241,$Q$5,$N$2:$N$241)</f>
        <v>0</v>
      </c>
      <c r="W5" s="61">
        <f>SUMIF($B$2:$B$241,$Q$5,$O$2:$O$241)</f>
        <v>0</v>
      </c>
      <c r="X5" s="42">
        <f>$R$5-$U$5</f>
        <v>0</v>
      </c>
      <c r="Y5" s="42">
        <f>$S$5-$V$5</f>
        <v>0</v>
      </c>
      <c r="Z5" s="42">
        <f>$T$5-$W$5</f>
        <v>0</v>
      </c>
      <c r="AA5" s="42">
        <f>SUMIF(EFEITO!$B$2:$B$241,$Q$5,EFEITO!$AE$2:$AE$241)</f>
        <v>0</v>
      </c>
      <c r="AB5" s="42">
        <f>SUMIF(EFEITO!$B$2:$B$241,$Q$5,EFEITO!$AF$2:$AF$241)</f>
        <v>0</v>
      </c>
      <c r="AC5" s="42">
        <f>SUMIF(EFEITO!$B$2:$B$241,$Q$5,EFEITO!$AG$2:$AH$241)</f>
        <v>0</v>
      </c>
      <c r="AD5" s="42">
        <f>SUMIF(SUBSIDIO!$B$2:$B$241,$Q$5,SUBSIDIO!$AD$2:$AD$241)</f>
        <v>0</v>
      </c>
      <c r="AE5" s="42">
        <f>SUMIF(SUBSIDIO!$B$2:$B$241,$Q$5,SUBSIDIO!$AE$2:$AE$241)</f>
        <v>0</v>
      </c>
      <c r="AF5" s="42" t="str">
        <f>IF(ABS($X$5-$AA$5)&lt;0.01,"OK","ERRO")</f>
        <v>OK</v>
      </c>
      <c r="AG5" s="42" t="str">
        <f>IF(ABS($Y$5-$AB$5)&lt;0.01,"OK","ERRO")</f>
        <v>OK</v>
      </c>
      <c r="AH5" s="42" t="str">
        <f>IF(ABS($Z$5-$AC$5)&lt;0.01,"OK","ERRO")</f>
        <v>OK</v>
      </c>
      <c r="AI5" s="42" t="str">
        <f>IF(ABS($U$5-$AD$5)&lt;0.01,"OK","ERRO")</f>
        <v>OK</v>
      </c>
      <c r="AJ5" s="42" t="str">
        <f>IF(ABS(($V$5+$W$5)-$AE$5)&lt;0.01,"OK","ERRO")</f>
        <v>OK</v>
      </c>
    </row>
    <row r="6" spans="1:40" ht="11.25" customHeight="1" x14ac:dyDescent="0.2">
      <c r="A6" s="41" t="s">
        <v>21</v>
      </c>
      <c r="B6" s="41" t="s">
        <v>39</v>
      </c>
      <c r="C6" s="41" t="s">
        <v>40</v>
      </c>
      <c r="D6" s="41" t="s">
        <v>38</v>
      </c>
      <c r="E6" s="41" t="s">
        <v>25</v>
      </c>
      <c r="F6" s="41" t="s">
        <v>25</v>
      </c>
      <c r="G6" s="41" t="s">
        <v>25</v>
      </c>
      <c r="H6" s="41" t="s">
        <v>35</v>
      </c>
      <c r="I6" s="60">
        <v>44501</v>
      </c>
      <c r="J6" s="61">
        <f>EFEITO!$J$6*EFEITO!$Y$6</f>
        <v>0</v>
      </c>
      <c r="K6" s="61">
        <f ca="1">EFEITO!$L$6*EFEITO!$Z$6</f>
        <v>1564.7122981382533</v>
      </c>
      <c r="L6" s="61">
        <f>EFEITO!$N$6*EFEITO!$AA$6</f>
        <v>1875.429917042663</v>
      </c>
      <c r="M6" s="61">
        <f>$J$6-EFEITO!$K$6*EFEITO!$Y$6</f>
        <v>0</v>
      </c>
      <c r="N6" s="61">
        <f ca="1">$K$6-EFEITO!$M$6*EFEITO!$Z$6</f>
        <v>0</v>
      </c>
      <c r="O6" s="61">
        <f>$L$6-EFEITO!$O$6*EFEITO!$AA$6</f>
        <v>0</v>
      </c>
      <c r="P6" s="45"/>
      <c r="Q6" s="61" t="s">
        <v>534</v>
      </c>
      <c r="R6" s="61">
        <f>SUMIF($B$2:$B$241,$Q$6,$J$2:$J$241)</f>
        <v>0</v>
      </c>
      <c r="S6" s="61">
        <f>SUMIF($B$2:$B$241,$Q$6,$K$2:$K$241)</f>
        <v>0</v>
      </c>
      <c r="T6" s="61">
        <f>SUMIF($B$2:$B$241,$Q$6,$L$2:$L$241)</f>
        <v>0</v>
      </c>
      <c r="U6" s="61">
        <f>SUMIF($B$2:$B$241,$Q$6,$M$2:$M$241)</f>
        <v>0</v>
      </c>
      <c r="V6" s="61">
        <f>SUMIF($B$2:$B$241,$Q$6,$N$2:$N$241)</f>
        <v>0</v>
      </c>
      <c r="W6" s="61">
        <f>SUMIF($B$2:$B$241,$Q$6,$O$2:$O$241)</f>
        <v>0</v>
      </c>
      <c r="X6" s="42">
        <f>$R$6-$U$6</f>
        <v>0</v>
      </c>
      <c r="Y6" s="42">
        <f>$S$6-$V$6</f>
        <v>0</v>
      </c>
      <c r="Z6" s="42">
        <f>$T$6-$W$6</f>
        <v>0</v>
      </c>
      <c r="AA6" s="42">
        <f>SUMIF(EFEITO!$B$2:$B$241,$Q$6,EFEITO!$AE$2:$AE$241)</f>
        <v>0</v>
      </c>
      <c r="AB6" s="42">
        <f>SUMIF(EFEITO!$B$2:$B$241,$Q$6,EFEITO!$AF$2:$AF$241)</f>
        <v>0</v>
      </c>
      <c r="AC6" s="42">
        <f>SUMIF(EFEITO!$B$2:$B$241,$Q$6,EFEITO!$AG$2:$AH$241)</f>
        <v>0</v>
      </c>
      <c r="AD6" s="42">
        <f>SUMIF(SUBSIDIO!$B$2:$B$241,$Q$6,SUBSIDIO!$AD$2:$AD$241)</f>
        <v>0</v>
      </c>
      <c r="AE6" s="42">
        <f>SUMIF(SUBSIDIO!$B$2:$B$241,$Q$6,SUBSIDIO!$AE$2:$AE$241)</f>
        <v>0</v>
      </c>
      <c r="AF6" s="42" t="str">
        <f>IF(ABS($X$6-$AA$6)&lt;0.01,"OK","ERRO")</f>
        <v>OK</v>
      </c>
      <c r="AG6" s="42" t="str">
        <f>IF(ABS($Y$6-$AB$6)&lt;0.01,"OK","ERRO")</f>
        <v>OK</v>
      </c>
      <c r="AH6" s="42" t="str">
        <f>IF(ABS($Z$6-$AC$6)&lt;0.01,"OK","ERRO")</f>
        <v>OK</v>
      </c>
      <c r="AI6" s="42" t="str">
        <f>IF(ABS($U$6-$AD$6)&lt;0.01,"OK","ERRO")</f>
        <v>OK</v>
      </c>
      <c r="AJ6" s="42" t="str">
        <f>IF(ABS(($V$6+$W$6)-$AE$6)&lt;0.01,"OK","ERRO")</f>
        <v>OK</v>
      </c>
    </row>
    <row r="7" spans="1:40" ht="11.25" customHeight="1" x14ac:dyDescent="0.2">
      <c r="A7" s="41" t="s">
        <v>21</v>
      </c>
      <c r="B7" s="41" t="s">
        <v>39</v>
      </c>
      <c r="C7" s="41" t="s">
        <v>40</v>
      </c>
      <c r="D7" s="41" t="s">
        <v>38</v>
      </c>
      <c r="E7" s="41" t="s">
        <v>25</v>
      </c>
      <c r="F7" s="41" t="s">
        <v>25</v>
      </c>
      <c r="G7" s="41" t="s">
        <v>25</v>
      </c>
      <c r="H7" s="41" t="s">
        <v>35</v>
      </c>
      <c r="I7" s="60">
        <v>44531</v>
      </c>
      <c r="J7" s="61">
        <f>EFEITO!$J$7*EFEITO!$Y$7</f>
        <v>0</v>
      </c>
      <c r="K7" s="61">
        <f ca="1">EFEITO!$L$7*EFEITO!$Z$7</f>
        <v>1298.4547609395354</v>
      </c>
      <c r="L7" s="61">
        <f>EFEITO!$N$7*EFEITO!$AA$7</f>
        <v>1556.2994599645688</v>
      </c>
      <c r="M7" s="61">
        <f>$J$7-EFEITO!$K$7*EFEITO!$Y$7</f>
        <v>0</v>
      </c>
      <c r="N7" s="61">
        <f ca="1">$K$7-EFEITO!$M$7*EFEITO!$Z$7</f>
        <v>0</v>
      </c>
      <c r="O7" s="61">
        <f>$L$7-EFEITO!$O$7*EFEITO!$AA$7</f>
        <v>0</v>
      </c>
      <c r="P7" s="45"/>
      <c r="Q7" s="61" t="s">
        <v>39</v>
      </c>
      <c r="R7" s="61">
        <f ca="1">SUMIF($B$2:$B$241,$Q$7,$J$2:$J$241)</f>
        <v>240386.67730185986</v>
      </c>
      <c r="S7" s="61">
        <f ca="1">SUMIF($B$2:$B$241,$Q$7,$K$2:$K$241)</f>
        <v>242106.35687418457</v>
      </c>
      <c r="T7" s="61">
        <f>SUMIF($B$2:$B$241,$Q$7,$L$2:$L$241)</f>
        <v>151961.86680993906</v>
      </c>
      <c r="U7" s="61">
        <f ca="1">SUMIF($B$2:$B$241,$Q$7,$M$2:$M$241)</f>
        <v>0</v>
      </c>
      <c r="V7" s="61">
        <f ca="1">SUMIF($B$2:$B$241,$Q$7,$N$2:$N$241)</f>
        <v>0</v>
      </c>
      <c r="W7" s="61">
        <f>SUMIF($B$2:$B$241,$Q$7,$O$2:$O$241)</f>
        <v>0</v>
      </c>
      <c r="X7" s="42">
        <f ca="1">$R$7-$U$7</f>
        <v>240386.67730185986</v>
      </c>
      <c r="Y7" s="42">
        <f ca="1">$S$7-$V$7</f>
        <v>242106.35687418457</v>
      </c>
      <c r="Z7" s="42">
        <f>$T$7-$W$7</f>
        <v>151961.86680993906</v>
      </c>
      <c r="AA7" s="42">
        <f ca="1">SUMIF(EFEITO!$B$2:$B$241,$Q$7,EFEITO!$AE$2:$AE$241)</f>
        <v>240386.67730185986</v>
      </c>
      <c r="AB7" s="42">
        <f ca="1">SUMIF(EFEITO!$B$2:$B$241,$Q$7,EFEITO!$AF$2:$AF$241)</f>
        <v>242106.35687418457</v>
      </c>
      <c r="AC7" s="42">
        <f>SUMIF(EFEITO!$B$2:$B$241,$Q$7,EFEITO!$AG$2:$AH$241)</f>
        <v>151961.86680993906</v>
      </c>
      <c r="AD7" s="42">
        <f>SUMIF(SUBSIDIO!$B$2:$B$241,$Q$7,SUBSIDIO!$AD$2:$AD$241)</f>
        <v>0</v>
      </c>
      <c r="AE7" s="42">
        <f>SUMIF(SUBSIDIO!$B$2:$B$241,$Q$7,SUBSIDIO!$AE$2:$AE$241)</f>
        <v>0</v>
      </c>
      <c r="AF7" s="42" t="str">
        <f ca="1">IF(ABS($X$7-$AA$7)&lt;0.01,"OK","ERRO")</f>
        <v>OK</v>
      </c>
      <c r="AG7" s="42" t="str">
        <f ca="1">IF(ABS($Y$7-$AB$7)&lt;0.01,"OK","ERRO")</f>
        <v>OK</v>
      </c>
      <c r="AH7" s="42" t="str">
        <f>IF(ABS($Z$7-$AC$7)&lt;0.01,"OK","ERRO")</f>
        <v>OK</v>
      </c>
      <c r="AI7" s="42" t="str">
        <f ca="1">IF(ABS($U$7-$AD$7)&lt;0.01,"OK","ERRO")</f>
        <v>OK</v>
      </c>
      <c r="AJ7" s="42" t="str">
        <f ca="1">IF(ABS(($V$7+$W$7)-$AE$7)&lt;0.01,"OK","ERRO")</f>
        <v>OK</v>
      </c>
    </row>
    <row r="8" spans="1:40" ht="11.25" customHeight="1" x14ac:dyDescent="0.2">
      <c r="A8" s="41" t="s">
        <v>21</v>
      </c>
      <c r="B8" s="41" t="s">
        <v>39</v>
      </c>
      <c r="C8" s="41" t="s">
        <v>40</v>
      </c>
      <c r="D8" s="41" t="s">
        <v>38</v>
      </c>
      <c r="E8" s="41" t="s">
        <v>25</v>
      </c>
      <c r="F8" s="41" t="s">
        <v>25</v>
      </c>
      <c r="G8" s="41" t="s">
        <v>25</v>
      </c>
      <c r="H8" s="41" t="s">
        <v>35</v>
      </c>
      <c r="I8" s="60">
        <v>44562</v>
      </c>
      <c r="J8" s="61">
        <f>EFEITO!$J$8*EFEITO!$Y$8</f>
        <v>0</v>
      </c>
      <c r="K8" s="61">
        <f ca="1">EFEITO!$L$8*EFEITO!$Z$8</f>
        <v>1100.6800999630339</v>
      </c>
      <c r="L8" s="61">
        <f>EFEITO!$N$8*EFEITO!$AA$8</f>
        <v>1319.2510795884289</v>
      </c>
      <c r="M8" s="61">
        <f>$J$8-EFEITO!$K$8*EFEITO!$Y$8</f>
        <v>0</v>
      </c>
      <c r="N8" s="61">
        <f ca="1">$K$8-EFEITO!$M$8*EFEITO!$Z$8</f>
        <v>0</v>
      </c>
      <c r="O8" s="61">
        <f>$L$8-EFEITO!$O$8*EFEITO!$AA$8</f>
        <v>0</v>
      </c>
      <c r="P8" s="45"/>
      <c r="Q8" s="61" t="s">
        <v>535</v>
      </c>
      <c r="R8" s="61">
        <f>SUMIF($B$2:$B$241,$Q$8,$J$2:$J$241)</f>
        <v>0</v>
      </c>
      <c r="S8" s="61">
        <f>SUMIF($B$2:$B$241,$Q$8,$K$2:$K$241)</f>
        <v>0</v>
      </c>
      <c r="T8" s="61">
        <f>SUMIF($B$2:$B$241,$Q$8,$L$2:$L$241)</f>
        <v>0</v>
      </c>
      <c r="U8" s="61">
        <f>SUMIF($B$2:$B$241,$Q$8,$M$2:$M$241)</f>
        <v>0</v>
      </c>
      <c r="V8" s="61">
        <f>SUMIF($B$2:$B$241,$Q$8,$N$2:$N$241)</f>
        <v>0</v>
      </c>
      <c r="W8" s="61">
        <f>SUMIF($B$2:$B$241,$Q$8,$O$2:$O$241)</f>
        <v>0</v>
      </c>
      <c r="X8" s="42">
        <f>$R$8-$U$8</f>
        <v>0</v>
      </c>
      <c r="Y8" s="42">
        <f>$S$8-$V$8</f>
        <v>0</v>
      </c>
      <c r="Z8" s="42">
        <f>$T$8-$W$8</f>
        <v>0</v>
      </c>
      <c r="AA8" s="42">
        <f>SUMIF(EFEITO!$B$2:$B$241,$Q$8,EFEITO!$AE$2:$AE$241)</f>
        <v>0</v>
      </c>
      <c r="AB8" s="42">
        <f>SUMIF(EFEITO!$B$2:$B$241,$Q$8,EFEITO!$AF$2:$AF$241)</f>
        <v>0</v>
      </c>
      <c r="AC8" s="42">
        <f>SUMIF(EFEITO!$B$2:$B$241,$Q$8,EFEITO!$AG$2:$AH$241)</f>
        <v>0</v>
      </c>
      <c r="AD8" s="42">
        <f>SUMIF(SUBSIDIO!$B$2:$B$241,$Q$8,SUBSIDIO!$AD$2:$AD$241)</f>
        <v>0</v>
      </c>
      <c r="AE8" s="42">
        <f>SUMIF(SUBSIDIO!$B$2:$B$241,$Q$8,SUBSIDIO!$AE$2:$AE$241)</f>
        <v>0</v>
      </c>
      <c r="AF8" s="42" t="str">
        <f>IF(ABS($X$8-$AA$8)&lt;0.01,"OK","ERRO")</f>
        <v>OK</v>
      </c>
      <c r="AG8" s="42" t="str">
        <f>IF(ABS($Y$8-$AB$8)&lt;0.01,"OK","ERRO")</f>
        <v>OK</v>
      </c>
      <c r="AH8" s="42" t="str">
        <f>IF(ABS($Z$8-$AC$8)&lt;0.01,"OK","ERRO")</f>
        <v>OK</v>
      </c>
      <c r="AI8" s="42" t="str">
        <f>IF(ABS($U$8-$AD$8)&lt;0.01,"OK","ERRO")</f>
        <v>OK</v>
      </c>
      <c r="AJ8" s="42" t="str">
        <f>IF(ABS(($V$8+$W$8)-$AE$8)&lt;0.01,"OK","ERRO")</f>
        <v>OK</v>
      </c>
    </row>
    <row r="9" spans="1:40" ht="11.25" customHeight="1" x14ac:dyDescent="0.2">
      <c r="A9" s="41" t="s">
        <v>21</v>
      </c>
      <c r="B9" s="41" t="s">
        <v>39</v>
      </c>
      <c r="C9" s="41" t="s">
        <v>40</v>
      </c>
      <c r="D9" s="41" t="s">
        <v>38</v>
      </c>
      <c r="E9" s="41" t="s">
        <v>25</v>
      </c>
      <c r="F9" s="41" t="s">
        <v>25</v>
      </c>
      <c r="G9" s="41" t="s">
        <v>25</v>
      </c>
      <c r="H9" s="41" t="s">
        <v>35</v>
      </c>
      <c r="I9" s="60">
        <v>44593</v>
      </c>
      <c r="J9" s="61">
        <f>EFEITO!$J$9*EFEITO!$Y$9</f>
        <v>0</v>
      </c>
      <c r="K9" s="61">
        <f ca="1">EFEITO!$L$9*EFEITO!$Z$9</f>
        <v>2909.8908370393292</v>
      </c>
      <c r="L9" s="61">
        <f>EFEITO!$N$9*EFEITO!$AA$9</f>
        <v>3487.7314747287064</v>
      </c>
      <c r="M9" s="61">
        <f>$J$9-EFEITO!$K$9*EFEITO!$Y$9</f>
        <v>0</v>
      </c>
      <c r="N9" s="61">
        <f ca="1">$K$9-EFEITO!$M$9*EFEITO!$Z$9</f>
        <v>0</v>
      </c>
      <c r="O9" s="61">
        <f>$L$9-EFEITO!$O$9*EFEITO!$AA$9</f>
        <v>0</v>
      </c>
      <c r="P9" s="45"/>
      <c r="Q9" s="61" t="s">
        <v>22</v>
      </c>
      <c r="R9" s="61">
        <f>SUMIF($B$2:$B$241,$Q$9,$J$2:$J$241)</f>
        <v>0</v>
      </c>
      <c r="S9" s="61">
        <f ca="1">SUMIF($B$2:$B$241,$Q$9,$K$2:$K$241)</f>
        <v>8271487.6548407124</v>
      </c>
      <c r="T9" s="61">
        <f>SUMIF($B$2:$B$241,$Q$9,$L$2:$L$241)</f>
        <v>1448570.2853618208</v>
      </c>
      <c r="U9" s="61">
        <f>SUMIF($B$2:$B$241,$Q$9,$M$2:$M$241)</f>
        <v>0</v>
      </c>
      <c r="V9" s="61">
        <f ca="1">SUMIF($B$2:$B$241,$Q$9,$N$2:$N$241)</f>
        <v>102143.75153984388</v>
      </c>
      <c r="W9" s="61">
        <f>SUMIF($B$2:$B$241,$Q$9,$O$2:$O$241)</f>
        <v>21107.749487916404</v>
      </c>
      <c r="X9" s="42">
        <f>$R$9-$U$9</f>
        <v>0</v>
      </c>
      <c r="Y9" s="42">
        <f ca="1">$S$9-$V$9</f>
        <v>8169343.9033008683</v>
      </c>
      <c r="Z9" s="42">
        <f>$T$9-$W$9</f>
        <v>1427462.5358739044</v>
      </c>
      <c r="AA9" s="42">
        <f>SUMIF(EFEITO!$B$2:$B$241,$Q$9,EFEITO!$AE$2:$AE$241)</f>
        <v>0</v>
      </c>
      <c r="AB9" s="42">
        <f ca="1">SUMIF(EFEITO!$B$2:$B$241,$Q$9,EFEITO!$AF$2:$AF$241)</f>
        <v>8169343.9033008683</v>
      </c>
      <c r="AC9" s="42">
        <f>SUMIF(EFEITO!$B$2:$B$241,$Q$9,EFEITO!$AG$2:$AH$241)</f>
        <v>1427462.5358739044</v>
      </c>
      <c r="AD9" s="42">
        <f>SUMIF(SUBSIDIO!$B$2:$B$241,$Q$9,SUBSIDIO!$AD$2:$AD$241)</f>
        <v>0</v>
      </c>
      <c r="AE9" s="42">
        <f ca="1">SUMIF(SUBSIDIO!$B$2:$B$241,$Q$9,SUBSIDIO!$AE$2:$AE$241)</f>
        <v>123251.50102776026</v>
      </c>
      <c r="AF9" s="42" t="str">
        <f>IF(ABS($X$9-$AA$9)&lt;0.01,"OK","ERRO")</f>
        <v>OK</v>
      </c>
      <c r="AG9" s="42" t="str">
        <f ca="1">IF(ABS($Y$9-$AB$9)&lt;0.01,"OK","ERRO")</f>
        <v>OK</v>
      </c>
      <c r="AH9" s="42" t="str">
        <f>IF(ABS($Z$9-$AC$9)&lt;0.01,"OK","ERRO")</f>
        <v>OK</v>
      </c>
      <c r="AI9" s="42" t="str">
        <f>IF(ABS($U$9-$AD$9)&lt;0.01,"OK","ERRO")</f>
        <v>OK</v>
      </c>
      <c r="AJ9" s="42" t="str">
        <f ca="1">IF(ABS(($V$9+$W$9)-$AE$9)&lt;0.01,"OK","ERRO")</f>
        <v>OK</v>
      </c>
    </row>
    <row r="10" spans="1:40" ht="11.25" customHeight="1" x14ac:dyDescent="0.2">
      <c r="A10" s="41" t="s">
        <v>21</v>
      </c>
      <c r="B10" s="41" t="s">
        <v>39</v>
      </c>
      <c r="C10" s="41" t="s">
        <v>40</v>
      </c>
      <c r="D10" s="41" t="s">
        <v>38</v>
      </c>
      <c r="E10" s="41" t="s">
        <v>25</v>
      </c>
      <c r="F10" s="41" t="s">
        <v>25</v>
      </c>
      <c r="G10" s="41" t="s">
        <v>25</v>
      </c>
      <c r="H10" s="41" t="s">
        <v>35</v>
      </c>
      <c r="I10" s="60">
        <v>44621</v>
      </c>
      <c r="J10" s="61">
        <f>EFEITO!$J$10*EFEITO!$Y$10</f>
        <v>0</v>
      </c>
      <c r="K10" s="61">
        <f ca="1">EFEITO!$L$10*EFEITO!$Z$10</f>
        <v>5854.6545145946529</v>
      </c>
      <c r="L10" s="61">
        <f>EFEITO!$N$10*EFEITO!$AA$10</f>
        <v>7017.2607729127349</v>
      </c>
      <c r="M10" s="61">
        <f>$J$10-EFEITO!$K$10*EFEITO!$Y$10</f>
        <v>0</v>
      </c>
      <c r="N10" s="61">
        <f ca="1">$K$10-EFEITO!$M$10*EFEITO!$Z$10</f>
        <v>0</v>
      </c>
      <c r="O10" s="61">
        <f>$L$10-EFEITO!$O$10*EFEITO!$AA$10</f>
        <v>0</v>
      </c>
      <c r="P10" s="45"/>
      <c r="Q10" s="61" t="s">
        <v>41</v>
      </c>
      <c r="R10" s="61">
        <f>SUMIF($B$2:$B$241,$Q$10,$J$2:$J$241)</f>
        <v>0</v>
      </c>
      <c r="S10" s="61">
        <f ca="1">SUMIF($B$2:$B$241,$Q$10,$K$2:$K$241)</f>
        <v>452121.95297630026</v>
      </c>
      <c r="T10" s="61">
        <f>SUMIF($B$2:$B$241,$Q$10,$L$2:$L$241)</f>
        <v>78557.088114396174</v>
      </c>
      <c r="U10" s="61">
        <f>SUMIF($B$2:$B$241,$Q$10,$M$2:$M$241)</f>
        <v>0</v>
      </c>
      <c r="V10" s="61">
        <f ca="1">SUMIF($B$2:$B$241,$Q$10,$N$2:$N$241)</f>
        <v>27127.317178578043</v>
      </c>
      <c r="W10" s="61">
        <f>SUMIF($B$2:$B$241,$Q$10,$O$2:$O$241)</f>
        <v>4713.4252868637777</v>
      </c>
      <c r="X10" s="42">
        <f>$R$10-$U$10</f>
        <v>0</v>
      </c>
      <c r="Y10" s="42">
        <f ca="1">$S$10-$V$10</f>
        <v>424994.63579772221</v>
      </c>
      <c r="Z10" s="42">
        <f>$T$10-$W$10</f>
        <v>73843.662827532389</v>
      </c>
      <c r="AA10" s="42">
        <f>SUMIF(EFEITO!$B$2:$B$241,$Q$10,EFEITO!$AE$2:$AE$241)</f>
        <v>0</v>
      </c>
      <c r="AB10" s="42">
        <f ca="1">SUMIF(EFEITO!$B$2:$B$241,$Q$10,EFEITO!$AF$2:$AF$241)</f>
        <v>424994.63579772221</v>
      </c>
      <c r="AC10" s="42">
        <f>SUMIF(EFEITO!$B$2:$B$241,$Q$10,EFEITO!$AG$2:$AH$241)</f>
        <v>73843.662827532418</v>
      </c>
      <c r="AD10" s="42">
        <f>SUMIF(SUBSIDIO!$B$2:$B$241,$Q$10,SUBSIDIO!$AD$2:$AD$241)</f>
        <v>0</v>
      </c>
      <c r="AE10" s="42">
        <f ca="1">SUMIF(SUBSIDIO!$B$2:$B$241,$Q$10,SUBSIDIO!$AE$2:$AE$241)</f>
        <v>31840.742465441832</v>
      </c>
      <c r="AF10" s="42" t="str">
        <f>IF(ABS($X$10-$AA$10)&lt;0.01,"OK","ERRO")</f>
        <v>OK</v>
      </c>
      <c r="AG10" s="42" t="str">
        <f ca="1">IF(ABS($Y$10-$AB$10)&lt;0.01,"OK","ERRO")</f>
        <v>OK</v>
      </c>
      <c r="AH10" s="42" t="str">
        <f>IF(ABS($Z$10-$AC$10)&lt;0.01,"OK","ERRO")</f>
        <v>OK</v>
      </c>
      <c r="AI10" s="42" t="str">
        <f>IF(ABS($U$10-$AD$10)&lt;0.01,"OK","ERRO")</f>
        <v>OK</v>
      </c>
      <c r="AJ10" s="42" t="str">
        <f ca="1">IF(ABS(($V$10+$W$10)-$AE$10)&lt;0.01,"OK","ERRO")</f>
        <v>OK</v>
      </c>
    </row>
    <row r="11" spans="1:40" ht="11.25" customHeight="1" x14ac:dyDescent="0.2">
      <c r="A11" s="41" t="s">
        <v>21</v>
      </c>
      <c r="B11" s="41" t="s">
        <v>39</v>
      </c>
      <c r="C11" s="41" t="s">
        <v>40</v>
      </c>
      <c r="D11" s="41" t="s">
        <v>38</v>
      </c>
      <c r="E11" s="41" t="s">
        <v>25</v>
      </c>
      <c r="F11" s="41" t="s">
        <v>25</v>
      </c>
      <c r="G11" s="41" t="s">
        <v>25</v>
      </c>
      <c r="H11" s="41" t="s">
        <v>35</v>
      </c>
      <c r="I11" s="60">
        <v>44652</v>
      </c>
      <c r="J11" s="61">
        <f>EFEITO!$J$11*EFEITO!$Y$11</f>
        <v>0</v>
      </c>
      <c r="K11" s="61">
        <f ca="1">EFEITO!$L$11*EFEITO!$Z$11</f>
        <v>4866.3640427012715</v>
      </c>
      <c r="L11" s="61">
        <f>EFEITO!$N$11*EFEITO!$AA$11</f>
        <v>5832.7174418975837</v>
      </c>
      <c r="M11" s="61">
        <f>$J$11-EFEITO!$K$11*EFEITO!$Y$11</f>
        <v>0</v>
      </c>
      <c r="N11" s="61">
        <f ca="1">$K$11-EFEITO!$M$11*EFEITO!$Z$11</f>
        <v>0</v>
      </c>
      <c r="O11" s="61">
        <f>$L$11-EFEITO!$O$11*EFEITO!$AA$11</f>
        <v>0</v>
      </c>
      <c r="P11" s="45"/>
      <c r="Q11" s="61" t="s">
        <v>37</v>
      </c>
      <c r="R11" s="61">
        <f>SUMIF($B$2:$B$241,$Q$11,$J$2:$J$241)</f>
        <v>0</v>
      </c>
      <c r="S11" s="61">
        <f ca="1">SUMIF($B$2:$B$241,$Q$11,$K$2:$K$241)</f>
        <v>981103.91426753765</v>
      </c>
      <c r="T11" s="61">
        <f>SUMIF($B$2:$B$241,$Q$11,$L$2:$L$241)</f>
        <v>170468.75546548388</v>
      </c>
      <c r="U11" s="61">
        <f>SUMIF($B$2:$B$241,$Q$11,$M$2:$M$241)</f>
        <v>0</v>
      </c>
      <c r="V11" s="61">
        <f ca="1">SUMIF($B$2:$B$241,$Q$11,$N$2:$N$241)</f>
        <v>1694.6431712478948</v>
      </c>
      <c r="W11" s="61">
        <f>SUMIF($B$2:$B$241,$Q$11,$O$2:$O$241)</f>
        <v>294.44761982871245</v>
      </c>
      <c r="X11" s="42">
        <f>$R$11-$U$11</f>
        <v>0</v>
      </c>
      <c r="Y11" s="42">
        <f ca="1">$S$11-$V$11</f>
        <v>979409.27109628974</v>
      </c>
      <c r="Z11" s="42">
        <f>$T$11-$W$11</f>
        <v>170174.30784565516</v>
      </c>
      <c r="AA11" s="42">
        <f>SUMIF(EFEITO!$B$2:$B$241,$Q$11,EFEITO!$AE$2:$AE$241)</f>
        <v>0</v>
      </c>
      <c r="AB11" s="42">
        <f ca="1">SUMIF(EFEITO!$B$2:$B$241,$Q$11,EFEITO!$AF$2:$AF$241)</f>
        <v>979409.27109628974</v>
      </c>
      <c r="AC11" s="42">
        <f>SUMIF(EFEITO!$B$2:$B$241,$Q$11,EFEITO!$AG$2:$AH$241)</f>
        <v>170174.30784565519</v>
      </c>
      <c r="AD11" s="42">
        <f>SUMIF(SUBSIDIO!$B$2:$B$241,$Q$11,SUBSIDIO!$AD$2:$AD$241)</f>
        <v>0</v>
      </c>
      <c r="AE11" s="42">
        <f ca="1">SUMIF(SUBSIDIO!$B$2:$B$241,$Q$11,SUBSIDIO!$AE$2:$AE$241)</f>
        <v>1989.0907910766045</v>
      </c>
      <c r="AF11" s="42" t="str">
        <f>IF(ABS($X$11-$AA$11)&lt;0.01,"OK","ERRO")</f>
        <v>OK</v>
      </c>
      <c r="AG11" s="42" t="str">
        <f ca="1">IF(ABS($Y$11-$AB$11)&lt;0.01,"OK","ERRO")</f>
        <v>OK</v>
      </c>
      <c r="AH11" s="42" t="str">
        <f>IF(ABS($Z$11-$AC$11)&lt;0.01,"OK","ERRO")</f>
        <v>OK</v>
      </c>
      <c r="AI11" s="42" t="str">
        <f>IF(ABS($U$11-$AD$11)&lt;0.01,"OK","ERRO")</f>
        <v>OK</v>
      </c>
      <c r="AJ11" s="42" t="str">
        <f ca="1">IF(ABS(($V$11+$W$11)-$AE$11)&lt;0.01,"OK","ERRO")</f>
        <v>OK</v>
      </c>
    </row>
    <row r="12" spans="1:40" ht="11.25" customHeight="1" x14ac:dyDescent="0.2">
      <c r="A12" s="41" t="s">
        <v>21</v>
      </c>
      <c r="B12" s="41" t="s">
        <v>39</v>
      </c>
      <c r="C12" s="41" t="s">
        <v>40</v>
      </c>
      <c r="D12" s="41" t="s">
        <v>38</v>
      </c>
      <c r="E12" s="41" t="s">
        <v>25</v>
      </c>
      <c r="F12" s="41" t="s">
        <v>25</v>
      </c>
      <c r="G12" s="41" t="s">
        <v>25</v>
      </c>
      <c r="H12" s="41" t="s">
        <v>35</v>
      </c>
      <c r="I12" s="60">
        <v>44682</v>
      </c>
      <c r="J12" s="61">
        <f>EFEITO!$J$12*EFEITO!$Y$12</f>
        <v>0</v>
      </c>
      <c r="K12" s="61">
        <f ca="1">EFEITO!$L$12*EFEITO!$Z$12</f>
        <v>6243.0155630151112</v>
      </c>
      <c r="L12" s="61">
        <f>EFEITO!$N$12*EFEITO!$AA$12</f>
        <v>7482.7418263232494</v>
      </c>
      <c r="M12" s="61">
        <f>$J$12-EFEITO!$K$12*EFEITO!$Y$12</f>
        <v>0</v>
      </c>
      <c r="N12" s="61">
        <f ca="1">$K$12-EFEITO!$M$12*EFEITO!$Z$12</f>
        <v>0</v>
      </c>
      <c r="O12" s="61">
        <f>$L$12-EFEITO!$O$12*EFEITO!$AA$12</f>
        <v>0</v>
      </c>
      <c r="P12" s="45"/>
      <c r="Q12" s="61" t="s">
        <v>44</v>
      </c>
      <c r="R12" s="61">
        <f>SUMIF($B$2:$B$241,$Q$12,$J$2:$J$241)</f>
        <v>0</v>
      </c>
      <c r="S12" s="61">
        <f ca="1">SUMIF($B$2:$B$241,$Q$12,$K$2:$K$241)</f>
        <v>181059.82423788455</v>
      </c>
      <c r="T12" s="61">
        <f>SUMIF($B$2:$B$241,$Q$12,$L$2:$L$241)</f>
        <v>31459.504394775893</v>
      </c>
      <c r="U12" s="61">
        <f>SUMIF($B$2:$B$241,$Q$12,$M$2:$M$241)</f>
        <v>0</v>
      </c>
      <c r="V12" s="61">
        <f ca="1">SUMIF($B$2:$B$241,$Q$12,$N$2:$N$241)</f>
        <v>0</v>
      </c>
      <c r="W12" s="61">
        <f>SUMIF($B$2:$B$241,$Q$12,$O$2:$O$241)</f>
        <v>0</v>
      </c>
      <c r="X12" s="42">
        <f>$R$12-$U$12</f>
        <v>0</v>
      </c>
      <c r="Y12" s="42">
        <f ca="1">$S$12-$V$12</f>
        <v>181059.82423788455</v>
      </c>
      <c r="Z12" s="42">
        <f>$T$12-$W$12</f>
        <v>31459.504394775893</v>
      </c>
      <c r="AA12" s="42">
        <f>SUMIF(EFEITO!$B$2:$B$241,$Q$12,EFEITO!$AE$2:$AE$241)</f>
        <v>0</v>
      </c>
      <c r="AB12" s="42">
        <f ca="1">SUMIF(EFEITO!$B$2:$B$241,$Q$12,EFEITO!$AF$2:$AF$241)</f>
        <v>181059.82423788455</v>
      </c>
      <c r="AC12" s="42">
        <f>SUMIF(EFEITO!$B$2:$B$241,$Q$12,EFEITO!$AG$2:$AH$241)</f>
        <v>31459.504394775893</v>
      </c>
      <c r="AD12" s="42">
        <f>SUMIF(SUBSIDIO!$B$2:$B$241,$Q$12,SUBSIDIO!$AD$2:$AD$241)</f>
        <v>0</v>
      </c>
      <c r="AE12" s="42">
        <f>SUMIF(SUBSIDIO!$B$2:$B$241,$Q$12,SUBSIDIO!$AE$2:$AE$241)</f>
        <v>0</v>
      </c>
      <c r="AF12" s="42" t="str">
        <f>IF(ABS($X$12-$AA$12)&lt;0.01,"OK","ERRO")</f>
        <v>OK</v>
      </c>
      <c r="AG12" s="42" t="str">
        <f ca="1">IF(ABS($Y$12-$AB$12)&lt;0.01,"OK","ERRO")</f>
        <v>OK</v>
      </c>
      <c r="AH12" s="42" t="str">
        <f>IF(ABS($Z$12-$AC$12)&lt;0.01,"OK","ERRO")</f>
        <v>OK</v>
      </c>
      <c r="AI12" s="42" t="str">
        <f>IF(ABS($U$12-$AD$12)&lt;0.01,"OK","ERRO")</f>
        <v>OK</v>
      </c>
      <c r="AJ12" s="42" t="str">
        <f ca="1">IF(ABS(($V$12+$W$12)-$AE$12)&lt;0.01,"OK","ERRO")</f>
        <v>OK</v>
      </c>
    </row>
    <row r="13" spans="1:40" ht="11.25" customHeight="1" x14ac:dyDescent="0.2">
      <c r="A13" s="41" t="s">
        <v>21</v>
      </c>
      <c r="B13" s="41" t="s">
        <v>39</v>
      </c>
      <c r="C13" s="41" t="s">
        <v>40</v>
      </c>
      <c r="D13" s="41" t="s">
        <v>38</v>
      </c>
      <c r="E13" s="41" t="s">
        <v>25</v>
      </c>
      <c r="F13" s="41" t="s">
        <v>25</v>
      </c>
      <c r="G13" s="41" t="s">
        <v>25</v>
      </c>
      <c r="H13" s="41" t="s">
        <v>35</v>
      </c>
      <c r="I13" s="60">
        <v>44713</v>
      </c>
      <c r="J13" s="61">
        <f>EFEITO!$J$13*EFEITO!$Y$13</f>
        <v>0</v>
      </c>
      <c r="K13" s="61">
        <f ca="1">EFEITO!$L$13*EFEITO!$Z$13</f>
        <v>6529.1865606756091</v>
      </c>
      <c r="L13" s="61">
        <f>EFEITO!$N$13*EFEITO!$AA$13</f>
        <v>7825.7401213075855</v>
      </c>
      <c r="M13" s="61">
        <f>$J$13-EFEITO!$K$13*EFEITO!$Y$13</f>
        <v>0</v>
      </c>
      <c r="N13" s="61">
        <f ca="1">$K$13-EFEITO!$M$13*EFEITO!$Z$13</f>
        <v>0</v>
      </c>
      <c r="O13" s="61">
        <f>$L$13-EFEITO!$O$13*EFEITO!$AA$13</f>
        <v>0</v>
      </c>
      <c r="P13" s="45"/>
      <c r="Q13" s="61" t="s">
        <v>77</v>
      </c>
      <c r="R13" s="61">
        <f>SUMIF($B$2:$B$241,$Q$13,$J$2:$J$241)</f>
        <v>0</v>
      </c>
      <c r="S13" s="61">
        <f>SUMIF($B$2:$B$241,$Q$13,$K$2:$K$241)</f>
        <v>0</v>
      </c>
      <c r="T13" s="61">
        <f>SUMIF($B$2:$B$241,$Q$13,$L$2:$L$241)</f>
        <v>0</v>
      </c>
      <c r="U13" s="61">
        <f>SUMIF($B$2:$B$241,$Q$13,$M$2:$M$241)</f>
        <v>0</v>
      </c>
      <c r="V13" s="61">
        <f>SUMIF($B$2:$B$241,$Q$13,$N$2:$N$241)</f>
        <v>0</v>
      </c>
      <c r="W13" s="61">
        <f>SUMIF($B$2:$B$241,$Q$13,$O$2:$O$241)</f>
        <v>0</v>
      </c>
      <c r="X13" s="42">
        <f>$R$13-$U$13</f>
        <v>0</v>
      </c>
      <c r="Y13" s="42">
        <f>$S$13-$V$13</f>
        <v>0</v>
      </c>
      <c r="Z13" s="42">
        <f>$T$13-$W$13</f>
        <v>0</v>
      </c>
      <c r="AA13" s="42">
        <f>SUMIF(EFEITO!$B$2:$B$241,$Q$13,EFEITO!$AE$2:$AE$241)</f>
        <v>0</v>
      </c>
      <c r="AB13" s="42">
        <f>SUMIF(EFEITO!$B$2:$B$241,$Q$13,EFEITO!$AF$2:$AF$241)</f>
        <v>0</v>
      </c>
      <c r="AC13" s="42">
        <f>SUMIF(EFEITO!$B$2:$B$241,$Q$13,EFEITO!$AG$2:$AH$241)</f>
        <v>0</v>
      </c>
      <c r="AD13" s="42">
        <f>SUMIF(SUBSIDIO!$B$2:$B$241,$Q$13,SUBSIDIO!$AD$2:$AD$241)</f>
        <v>0</v>
      </c>
      <c r="AE13" s="42">
        <f>SUMIF(SUBSIDIO!$B$2:$B$241,$Q$13,SUBSIDIO!$AE$2:$AE$241)</f>
        <v>0</v>
      </c>
      <c r="AF13" s="42" t="str">
        <f>IF(ABS($X$13-$AA$13)&lt;0.01,"OK","ERRO")</f>
        <v>OK</v>
      </c>
      <c r="AG13" s="42" t="str">
        <f>IF(ABS($Y$13-$AB$13)&lt;0.01,"OK","ERRO")</f>
        <v>OK</v>
      </c>
      <c r="AH13" s="42" t="str">
        <f>IF(ABS($Z$13-$AC$13)&lt;0.01,"OK","ERRO")</f>
        <v>OK</v>
      </c>
      <c r="AI13" s="42" t="str">
        <f>IF(ABS($U$13-$AD$13)&lt;0.01,"OK","ERRO")</f>
        <v>OK</v>
      </c>
      <c r="AJ13" s="42" t="str">
        <f>IF(ABS(($V$13+$W$13)-$AE$13)&lt;0.01,"OK","ERRO")</f>
        <v>OK</v>
      </c>
    </row>
    <row r="14" spans="1:40" ht="11.25" customHeight="1" x14ac:dyDescent="0.2">
      <c r="A14" s="41" t="s">
        <v>21</v>
      </c>
      <c r="B14" s="41" t="s">
        <v>39</v>
      </c>
      <c r="C14" s="41" t="s">
        <v>40</v>
      </c>
      <c r="D14" s="41" t="s">
        <v>38</v>
      </c>
      <c r="E14" s="41" t="s">
        <v>25</v>
      </c>
      <c r="F14" s="41" t="s">
        <v>25</v>
      </c>
      <c r="G14" s="41" t="s">
        <v>25</v>
      </c>
      <c r="H14" s="41" t="s">
        <v>25</v>
      </c>
      <c r="I14" s="60">
        <v>44378</v>
      </c>
      <c r="J14" s="61">
        <f ca="1">EFEITO!$J$14*EFEITO!$Y$14</f>
        <v>11007.199274289333</v>
      </c>
      <c r="K14" s="61">
        <f>EFEITO!$L$14*EFEITO!$Z$14</f>
        <v>0</v>
      </c>
      <c r="L14" s="61">
        <f>EFEITO!$N$14*EFEITO!$AA$14</f>
        <v>0</v>
      </c>
      <c r="M14" s="61">
        <f ca="1">$J$14-EFEITO!$K$14*EFEITO!$Y$14</f>
        <v>0</v>
      </c>
      <c r="N14" s="61">
        <f>$K$14-EFEITO!$M$14*EFEITO!$Z$14</f>
        <v>0</v>
      </c>
      <c r="O14" s="61">
        <f>$L$14-EFEITO!$O$14*EFEITO!$AA$14</f>
        <v>0</v>
      </c>
      <c r="P14" s="45"/>
      <c r="Q14" s="45"/>
      <c r="R14" s="45"/>
      <c r="S14" s="45"/>
      <c r="T14" s="45"/>
      <c r="U14" s="45"/>
      <c r="V14" s="45"/>
      <c r="W14" s="4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40" ht="11.25" customHeight="1" x14ac:dyDescent="0.2">
      <c r="A15" s="41" t="s">
        <v>21</v>
      </c>
      <c r="B15" s="41" t="s">
        <v>39</v>
      </c>
      <c r="C15" s="41" t="s">
        <v>40</v>
      </c>
      <c r="D15" s="41" t="s">
        <v>38</v>
      </c>
      <c r="E15" s="41" t="s">
        <v>25</v>
      </c>
      <c r="F15" s="41" t="s">
        <v>25</v>
      </c>
      <c r="G15" s="41" t="s">
        <v>25</v>
      </c>
      <c r="H15" s="41" t="s">
        <v>25</v>
      </c>
      <c r="I15" s="60">
        <v>44409</v>
      </c>
      <c r="J15" s="61">
        <f ca="1">EFEITO!$J$15*EFEITO!$Y$15</f>
        <v>11195.678713917574</v>
      </c>
      <c r="K15" s="61">
        <f>EFEITO!$L$15*EFEITO!$Z$15</f>
        <v>0</v>
      </c>
      <c r="L15" s="61">
        <f>EFEITO!$N$15*EFEITO!$AA$15</f>
        <v>0</v>
      </c>
      <c r="M15" s="61">
        <f ca="1">$J$15-EFEITO!$K$15*EFEITO!$Y$15</f>
        <v>0</v>
      </c>
      <c r="N15" s="61">
        <f>$K$15-EFEITO!$M$15*EFEITO!$Z$15</f>
        <v>0</v>
      </c>
      <c r="O15" s="61">
        <f>$L$15-EFEITO!$O$15*EFEITO!$AA$15</f>
        <v>0</v>
      </c>
      <c r="P15" s="45"/>
      <c r="Q15" s="45"/>
      <c r="R15" s="45"/>
      <c r="S15" s="45"/>
      <c r="T15" s="45"/>
      <c r="U15" s="45"/>
      <c r="V15" s="45"/>
      <c r="W15" s="4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40" ht="11.25" customHeight="1" x14ac:dyDescent="0.2">
      <c r="A16" s="41" t="s">
        <v>21</v>
      </c>
      <c r="B16" s="41" t="s">
        <v>39</v>
      </c>
      <c r="C16" s="41" t="s">
        <v>40</v>
      </c>
      <c r="D16" s="41" t="s">
        <v>38</v>
      </c>
      <c r="E16" s="41" t="s">
        <v>25</v>
      </c>
      <c r="F16" s="41" t="s">
        <v>25</v>
      </c>
      <c r="G16" s="41" t="s">
        <v>25</v>
      </c>
      <c r="H16" s="41" t="s">
        <v>25</v>
      </c>
      <c r="I16" s="60">
        <v>44440</v>
      </c>
      <c r="J16" s="61">
        <f ca="1">EFEITO!$J$16*EFEITO!$Y$16</f>
        <v>14362.133299672039</v>
      </c>
      <c r="K16" s="61">
        <f>EFEITO!$L$16*EFEITO!$Z$16</f>
        <v>0</v>
      </c>
      <c r="L16" s="61">
        <f>EFEITO!$N$16*EFEITO!$AA$16</f>
        <v>0</v>
      </c>
      <c r="M16" s="61">
        <f ca="1">$J$16-EFEITO!$K$16*EFEITO!$Y$16</f>
        <v>0</v>
      </c>
      <c r="N16" s="61">
        <f>$K$16-EFEITO!$M$16*EFEITO!$Z$16</f>
        <v>0</v>
      </c>
      <c r="O16" s="61">
        <f>$L$16-EFEITO!$O$16*EFEITO!$AA$16</f>
        <v>0</v>
      </c>
      <c r="P16" s="45"/>
      <c r="Q16" s="45"/>
      <c r="R16" s="45"/>
      <c r="S16" s="45"/>
      <c r="T16" s="45"/>
      <c r="U16" s="45"/>
      <c r="V16" s="45"/>
      <c r="W16" s="4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1.25" customHeight="1" x14ac:dyDescent="0.2">
      <c r="A17" s="41" t="s">
        <v>21</v>
      </c>
      <c r="B17" s="41" t="s">
        <v>39</v>
      </c>
      <c r="C17" s="41" t="s">
        <v>40</v>
      </c>
      <c r="D17" s="41" t="s">
        <v>38</v>
      </c>
      <c r="E17" s="41" t="s">
        <v>25</v>
      </c>
      <c r="F17" s="41" t="s">
        <v>25</v>
      </c>
      <c r="G17" s="41" t="s">
        <v>25</v>
      </c>
      <c r="H17" s="41" t="s">
        <v>25</v>
      </c>
      <c r="I17" s="60">
        <v>44470</v>
      </c>
      <c r="J17" s="61">
        <f ca="1">EFEITO!$J$17*EFEITO!$Y$17</f>
        <v>10554.848619181552</v>
      </c>
      <c r="K17" s="61">
        <f>EFEITO!$L$17*EFEITO!$Z$17</f>
        <v>0</v>
      </c>
      <c r="L17" s="61">
        <f>EFEITO!$N$17*EFEITO!$AA$17</f>
        <v>0</v>
      </c>
      <c r="M17" s="61">
        <f ca="1">$J$17-EFEITO!$K$17*EFEITO!$Y$17</f>
        <v>0</v>
      </c>
      <c r="N17" s="61">
        <f>$K$17-EFEITO!$M$17*EFEITO!$Z$17</f>
        <v>0</v>
      </c>
      <c r="O17" s="61">
        <f>$L$17-EFEITO!$O$17*EFEITO!$AA$17</f>
        <v>0</v>
      </c>
      <c r="P17" s="45"/>
      <c r="Q17" s="45"/>
      <c r="R17" s="45"/>
      <c r="S17" s="45"/>
      <c r="T17" s="45"/>
      <c r="U17" s="45"/>
      <c r="V17" s="45"/>
      <c r="W17" s="4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1.25" customHeight="1" x14ac:dyDescent="0.2">
      <c r="A18" s="41" t="s">
        <v>21</v>
      </c>
      <c r="B18" s="41" t="s">
        <v>39</v>
      </c>
      <c r="C18" s="41" t="s">
        <v>40</v>
      </c>
      <c r="D18" s="41" t="s">
        <v>38</v>
      </c>
      <c r="E18" s="41" t="s">
        <v>25</v>
      </c>
      <c r="F18" s="41" t="s">
        <v>25</v>
      </c>
      <c r="G18" s="41" t="s">
        <v>25</v>
      </c>
      <c r="H18" s="41" t="s">
        <v>25</v>
      </c>
      <c r="I18" s="60">
        <v>44501</v>
      </c>
      <c r="J18" s="61">
        <f ca="1">EFEITO!$J$18*EFEITO!$Y$18</f>
        <v>10554.848619181552</v>
      </c>
      <c r="K18" s="61">
        <f>EFEITO!$L$18*EFEITO!$Z$18</f>
        <v>0</v>
      </c>
      <c r="L18" s="61">
        <f>EFEITO!$N$18*EFEITO!$AA$18</f>
        <v>0</v>
      </c>
      <c r="M18" s="61">
        <f ca="1">$J$18-EFEITO!$K$18*EFEITO!$Y$18</f>
        <v>0</v>
      </c>
      <c r="N18" s="61">
        <f>$K$18-EFEITO!$M$18*EFEITO!$Z$18</f>
        <v>0</v>
      </c>
      <c r="O18" s="61">
        <f>$L$18-EFEITO!$O$18*EFEITO!$AA$18</f>
        <v>0</v>
      </c>
      <c r="P18" s="45"/>
      <c r="Q18" s="45"/>
      <c r="R18" s="45"/>
      <c r="S18" s="45"/>
      <c r="T18" s="45"/>
      <c r="U18" s="45"/>
      <c r="V18" s="45"/>
      <c r="W18" s="4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1.25" customHeight="1" x14ac:dyDescent="0.2">
      <c r="A19" s="41" t="s">
        <v>21</v>
      </c>
      <c r="B19" s="41" t="s">
        <v>39</v>
      </c>
      <c r="C19" s="41" t="s">
        <v>40</v>
      </c>
      <c r="D19" s="41" t="s">
        <v>38</v>
      </c>
      <c r="E19" s="41" t="s">
        <v>25</v>
      </c>
      <c r="F19" s="41" t="s">
        <v>25</v>
      </c>
      <c r="G19" s="41" t="s">
        <v>25</v>
      </c>
      <c r="H19" s="41" t="s">
        <v>25</v>
      </c>
      <c r="I19" s="60">
        <v>44531</v>
      </c>
      <c r="J19" s="61">
        <f ca="1">EFEITO!$J$19*EFEITO!$Y$19</f>
        <v>10554.848619181552</v>
      </c>
      <c r="K19" s="61">
        <f>EFEITO!$L$19*EFEITO!$Z$19</f>
        <v>0</v>
      </c>
      <c r="L19" s="61">
        <f>EFEITO!$N$19*EFEITO!$AA$19</f>
        <v>0</v>
      </c>
      <c r="M19" s="61">
        <f ca="1">$J$19-EFEITO!$K$19*EFEITO!$Y$19</f>
        <v>0</v>
      </c>
      <c r="N19" s="61">
        <f>$K$19-EFEITO!$M$19*EFEITO!$Z$19</f>
        <v>0</v>
      </c>
      <c r="O19" s="61">
        <f>$L$19-EFEITO!$O$19*EFEITO!$AA$19</f>
        <v>0</v>
      </c>
      <c r="P19" s="45"/>
      <c r="Q19" s="45"/>
      <c r="R19" s="45"/>
      <c r="S19" s="45"/>
      <c r="T19" s="45"/>
      <c r="U19" s="45"/>
      <c r="V19" s="45"/>
      <c r="W19" s="4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1.25" customHeight="1" x14ac:dyDescent="0.2">
      <c r="A20" s="41" t="s">
        <v>21</v>
      </c>
      <c r="B20" s="41" t="s">
        <v>39</v>
      </c>
      <c r="C20" s="41" t="s">
        <v>40</v>
      </c>
      <c r="D20" s="41" t="s">
        <v>38</v>
      </c>
      <c r="E20" s="41" t="s">
        <v>25</v>
      </c>
      <c r="F20" s="41" t="s">
        <v>25</v>
      </c>
      <c r="G20" s="41" t="s">
        <v>25</v>
      </c>
      <c r="H20" s="41" t="s">
        <v>25</v>
      </c>
      <c r="I20" s="60">
        <v>44562</v>
      </c>
      <c r="J20" s="61">
        <f ca="1">EFEITO!$J$20*EFEITO!$Y$20</f>
        <v>10554.848619181552</v>
      </c>
      <c r="K20" s="61">
        <f>EFEITO!$L$20*EFEITO!$Z$20</f>
        <v>0</v>
      </c>
      <c r="L20" s="61">
        <f>EFEITO!$N$20*EFEITO!$AA$20</f>
        <v>0</v>
      </c>
      <c r="M20" s="61">
        <f ca="1">$J$20-EFEITO!$K$20*EFEITO!$Y$20</f>
        <v>0</v>
      </c>
      <c r="N20" s="61">
        <f>$K$20-EFEITO!$M$20*EFEITO!$Z$20</f>
        <v>0</v>
      </c>
      <c r="O20" s="61">
        <f>$L$20-EFEITO!$O$20*EFEITO!$AA$20</f>
        <v>0</v>
      </c>
      <c r="P20" s="45"/>
      <c r="Q20" s="45"/>
      <c r="R20" s="45"/>
      <c r="S20" s="45"/>
      <c r="T20" s="45"/>
      <c r="U20" s="45"/>
      <c r="V20" s="45"/>
      <c r="W20" s="4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1.25" customHeight="1" x14ac:dyDescent="0.2">
      <c r="A21" s="41" t="s">
        <v>21</v>
      </c>
      <c r="B21" s="41" t="s">
        <v>39</v>
      </c>
      <c r="C21" s="41" t="s">
        <v>40</v>
      </c>
      <c r="D21" s="41" t="s">
        <v>38</v>
      </c>
      <c r="E21" s="41" t="s">
        <v>25</v>
      </c>
      <c r="F21" s="41" t="s">
        <v>25</v>
      </c>
      <c r="G21" s="41" t="s">
        <v>25</v>
      </c>
      <c r="H21" s="41" t="s">
        <v>25</v>
      </c>
      <c r="I21" s="60">
        <v>44593</v>
      </c>
      <c r="J21" s="61">
        <f ca="1">EFEITO!$J$21*EFEITO!$Y$21</f>
        <v>10554.848619181552</v>
      </c>
      <c r="K21" s="61">
        <f>EFEITO!$L$21*EFEITO!$Z$21</f>
        <v>0</v>
      </c>
      <c r="L21" s="61">
        <f>EFEITO!$N$21*EFEITO!$AA$21</f>
        <v>0</v>
      </c>
      <c r="M21" s="61">
        <f ca="1">$J$21-EFEITO!$K$21*EFEITO!$Y$21</f>
        <v>0</v>
      </c>
      <c r="N21" s="61">
        <f>$K$21-EFEITO!$M$21*EFEITO!$Z$21</f>
        <v>0</v>
      </c>
      <c r="O21" s="61">
        <f>$L$21-EFEITO!$O$21*EFEITO!$AA$21</f>
        <v>0</v>
      </c>
      <c r="P21" s="45"/>
      <c r="Q21" s="45"/>
      <c r="R21" s="45"/>
      <c r="S21" s="45"/>
      <c r="T21" s="45"/>
      <c r="U21" s="45"/>
      <c r="V21" s="45"/>
      <c r="W21" s="4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1.25" customHeight="1" x14ac:dyDescent="0.2">
      <c r="A22" s="41" t="s">
        <v>21</v>
      </c>
      <c r="B22" s="41" t="s">
        <v>39</v>
      </c>
      <c r="C22" s="41" t="s">
        <v>40</v>
      </c>
      <c r="D22" s="41" t="s">
        <v>38</v>
      </c>
      <c r="E22" s="41" t="s">
        <v>25</v>
      </c>
      <c r="F22" s="41" t="s">
        <v>25</v>
      </c>
      <c r="G22" s="41" t="s">
        <v>25</v>
      </c>
      <c r="H22" s="41" t="s">
        <v>25</v>
      </c>
      <c r="I22" s="60">
        <v>44621</v>
      </c>
      <c r="J22" s="61">
        <f ca="1">EFEITO!$J$22*EFEITO!$Y$22</f>
        <v>7237.6104817244923</v>
      </c>
      <c r="K22" s="61">
        <f>EFEITO!$L$22*EFEITO!$Z$22</f>
        <v>0</v>
      </c>
      <c r="L22" s="61">
        <f>EFEITO!$N$22*EFEITO!$AA$22</f>
        <v>0</v>
      </c>
      <c r="M22" s="61">
        <f ca="1">$J$22-EFEITO!$K$22*EFEITO!$Y$22</f>
        <v>0</v>
      </c>
      <c r="N22" s="61">
        <f>$K$22-EFEITO!$M$22*EFEITO!$Z$22</f>
        <v>0</v>
      </c>
      <c r="O22" s="61">
        <f>$L$22-EFEITO!$O$22*EFEITO!$AA$22</f>
        <v>0</v>
      </c>
      <c r="P22" s="45"/>
      <c r="Q22" s="45"/>
      <c r="R22" s="45"/>
      <c r="S22" s="45"/>
      <c r="T22" s="45"/>
      <c r="U22" s="45"/>
      <c r="V22" s="45"/>
      <c r="W22" s="4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1.25" customHeight="1" x14ac:dyDescent="0.2">
      <c r="A23" s="41" t="s">
        <v>21</v>
      </c>
      <c r="B23" s="41" t="s">
        <v>39</v>
      </c>
      <c r="C23" s="41" t="s">
        <v>40</v>
      </c>
      <c r="D23" s="41" t="s">
        <v>38</v>
      </c>
      <c r="E23" s="41" t="s">
        <v>25</v>
      </c>
      <c r="F23" s="41" t="s">
        <v>25</v>
      </c>
      <c r="G23" s="41" t="s">
        <v>25</v>
      </c>
      <c r="H23" s="41" t="s">
        <v>25</v>
      </c>
      <c r="I23" s="60">
        <v>44652</v>
      </c>
      <c r="J23" s="61">
        <f ca="1">EFEITO!$J$23*EFEITO!$Y$23</f>
        <v>7350.6981455014384</v>
      </c>
      <c r="K23" s="61">
        <f>EFEITO!$L$23*EFEITO!$Z$23</f>
        <v>0</v>
      </c>
      <c r="L23" s="61">
        <f>EFEITO!$N$23*EFEITO!$AA$23</f>
        <v>0</v>
      </c>
      <c r="M23" s="61">
        <f ca="1">$J$23-EFEITO!$K$23*EFEITO!$Y$23</f>
        <v>0</v>
      </c>
      <c r="N23" s="61">
        <f>$K$23-EFEITO!$M$23*EFEITO!$Z$23</f>
        <v>0</v>
      </c>
      <c r="O23" s="61">
        <f>$L$23-EFEITO!$O$23*EFEITO!$AA$23</f>
        <v>0</v>
      </c>
      <c r="P23" s="45"/>
      <c r="Q23" s="45"/>
      <c r="R23" s="45"/>
      <c r="S23" s="45"/>
      <c r="T23" s="45"/>
      <c r="U23" s="45"/>
      <c r="V23" s="45"/>
      <c r="W23" s="4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1.25" customHeight="1" x14ac:dyDescent="0.2">
      <c r="A24" s="41" t="s">
        <v>21</v>
      </c>
      <c r="B24" s="41" t="s">
        <v>39</v>
      </c>
      <c r="C24" s="41" t="s">
        <v>40</v>
      </c>
      <c r="D24" s="41" t="s">
        <v>38</v>
      </c>
      <c r="E24" s="41" t="s">
        <v>25</v>
      </c>
      <c r="F24" s="41" t="s">
        <v>25</v>
      </c>
      <c r="G24" s="41" t="s">
        <v>25</v>
      </c>
      <c r="H24" s="41" t="s">
        <v>25</v>
      </c>
      <c r="I24" s="60">
        <v>44682</v>
      </c>
      <c r="J24" s="61">
        <f ca="1">EFEITO!$J$24*EFEITO!$Y$24</f>
        <v>7162.2187058731961</v>
      </c>
      <c r="K24" s="61">
        <f>EFEITO!$L$24*EFEITO!$Z$24</f>
        <v>0</v>
      </c>
      <c r="L24" s="61">
        <f>EFEITO!$N$24*EFEITO!$AA$24</f>
        <v>0</v>
      </c>
      <c r="M24" s="61">
        <f ca="1">$J$24-EFEITO!$K$24*EFEITO!$Y$24</f>
        <v>0</v>
      </c>
      <c r="N24" s="61">
        <f>$K$24-EFEITO!$M$24*EFEITO!$Z$24</f>
        <v>0</v>
      </c>
      <c r="O24" s="61">
        <f>$L$24-EFEITO!$O$24*EFEITO!$AA$24</f>
        <v>0</v>
      </c>
      <c r="P24" s="45"/>
      <c r="Q24" s="45"/>
      <c r="R24" s="45"/>
      <c r="S24" s="45"/>
      <c r="T24" s="45"/>
      <c r="U24" s="45"/>
      <c r="V24" s="45"/>
      <c r="W24" s="4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1.25" customHeight="1" x14ac:dyDescent="0.2">
      <c r="A25" s="41" t="s">
        <v>21</v>
      </c>
      <c r="B25" s="41" t="s">
        <v>39</v>
      </c>
      <c r="C25" s="41" t="s">
        <v>40</v>
      </c>
      <c r="D25" s="41" t="s">
        <v>38</v>
      </c>
      <c r="E25" s="41" t="s">
        <v>25</v>
      </c>
      <c r="F25" s="41" t="s">
        <v>25</v>
      </c>
      <c r="G25" s="41" t="s">
        <v>25</v>
      </c>
      <c r="H25" s="41" t="s">
        <v>25</v>
      </c>
      <c r="I25" s="60">
        <v>44713</v>
      </c>
      <c r="J25" s="61">
        <f ca="1">EFEITO!$J$25*EFEITO!$Y$25</f>
        <v>7275.3063696501413</v>
      </c>
      <c r="K25" s="61">
        <f>EFEITO!$L$25*EFEITO!$Z$25</f>
        <v>0</v>
      </c>
      <c r="L25" s="61">
        <f>EFEITO!$N$25*EFEITO!$AA$25</f>
        <v>0</v>
      </c>
      <c r="M25" s="61">
        <f ca="1">$J$25-EFEITO!$K$25*EFEITO!$Y$25</f>
        <v>0</v>
      </c>
      <c r="N25" s="61">
        <f>$K$25-EFEITO!$M$25*EFEITO!$Z$25</f>
        <v>0</v>
      </c>
      <c r="O25" s="61">
        <f>$L$25-EFEITO!$O$25*EFEITO!$AA$25</f>
        <v>0</v>
      </c>
      <c r="P25" s="45"/>
      <c r="Q25" s="45"/>
      <c r="R25" s="45"/>
      <c r="S25" s="45"/>
      <c r="T25" s="45"/>
      <c r="U25" s="45"/>
      <c r="V25" s="45"/>
      <c r="W25" s="4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1.25" customHeight="1" x14ac:dyDescent="0.2">
      <c r="A26" s="41" t="s">
        <v>21</v>
      </c>
      <c r="B26" s="41" t="s">
        <v>39</v>
      </c>
      <c r="C26" s="41" t="s">
        <v>40</v>
      </c>
      <c r="D26" s="41" t="s">
        <v>38</v>
      </c>
      <c r="E26" s="41" t="s">
        <v>25</v>
      </c>
      <c r="F26" s="41" t="s">
        <v>25</v>
      </c>
      <c r="G26" s="41" t="s">
        <v>25</v>
      </c>
      <c r="H26" s="41" t="s">
        <v>34</v>
      </c>
      <c r="I26" s="60">
        <v>44378</v>
      </c>
      <c r="J26" s="61">
        <f>EFEITO!$J$26*EFEITO!$Y$26</f>
        <v>0</v>
      </c>
      <c r="K26" s="61">
        <f ca="1">EFEITO!$L$26*EFEITO!$Z$26</f>
        <v>2859.2347814234031</v>
      </c>
      <c r="L26" s="61">
        <f>EFEITO!$N$26*EFEITO!$AA$26</f>
        <v>167.07486534369389</v>
      </c>
      <c r="M26" s="61">
        <f>$J$26-EFEITO!$K$26*EFEITO!$Y$26</f>
        <v>0</v>
      </c>
      <c r="N26" s="61">
        <f ca="1">$K$26-EFEITO!$M$26*EFEITO!$Z$26</f>
        <v>0</v>
      </c>
      <c r="O26" s="61">
        <f>$L$26-EFEITO!$O$26*EFEITO!$AA$26</f>
        <v>0</v>
      </c>
      <c r="P26" s="45"/>
      <c r="Q26" s="45"/>
      <c r="R26" s="45"/>
      <c r="S26" s="45"/>
      <c r="T26" s="45"/>
      <c r="U26" s="45"/>
      <c r="V26" s="45"/>
      <c r="W26" s="4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1.25" customHeight="1" x14ac:dyDescent="0.2">
      <c r="A27" s="41" t="s">
        <v>21</v>
      </c>
      <c r="B27" s="41" t="s">
        <v>39</v>
      </c>
      <c r="C27" s="41" t="s">
        <v>40</v>
      </c>
      <c r="D27" s="41" t="s">
        <v>38</v>
      </c>
      <c r="E27" s="41" t="s">
        <v>25</v>
      </c>
      <c r="F27" s="41" t="s">
        <v>25</v>
      </c>
      <c r="G27" s="41" t="s">
        <v>25</v>
      </c>
      <c r="H27" s="41" t="s">
        <v>34</v>
      </c>
      <c r="I27" s="60">
        <v>44409</v>
      </c>
      <c r="J27" s="61">
        <f>EFEITO!$J$27*EFEITO!$Y$27</f>
        <v>0</v>
      </c>
      <c r="K27" s="61">
        <f ca="1">EFEITO!$L$27*EFEITO!$Z$27</f>
        <v>5425.5723413351407</v>
      </c>
      <c r="L27" s="61">
        <f>EFEITO!$N$27*EFEITO!$AA$27</f>
        <v>317.0347444814484</v>
      </c>
      <c r="M27" s="61">
        <f>$J$27-EFEITO!$K$27*EFEITO!$Y$27</f>
        <v>0</v>
      </c>
      <c r="N27" s="61">
        <f ca="1">$K$27-EFEITO!$M$27*EFEITO!$Z$27</f>
        <v>0</v>
      </c>
      <c r="O27" s="61">
        <f>$L$27-EFEITO!$O$27*EFEITO!$AA$27</f>
        <v>0</v>
      </c>
      <c r="P27" s="45"/>
      <c r="Q27" s="45"/>
      <c r="R27" s="45"/>
      <c r="S27" s="45"/>
      <c r="T27" s="45"/>
      <c r="U27" s="45"/>
      <c r="V27" s="45"/>
      <c r="W27" s="4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1.25" customHeight="1" x14ac:dyDescent="0.2">
      <c r="A28" s="41" t="s">
        <v>21</v>
      </c>
      <c r="B28" s="41" t="s">
        <v>39</v>
      </c>
      <c r="C28" s="41" t="s">
        <v>40</v>
      </c>
      <c r="D28" s="41" t="s">
        <v>38</v>
      </c>
      <c r="E28" s="41" t="s">
        <v>25</v>
      </c>
      <c r="F28" s="41" t="s">
        <v>25</v>
      </c>
      <c r="G28" s="41" t="s">
        <v>25</v>
      </c>
      <c r="H28" s="41" t="s">
        <v>34</v>
      </c>
      <c r="I28" s="60">
        <v>44440</v>
      </c>
      <c r="J28" s="61">
        <f>EFEITO!$J$28*EFEITO!$Y$28</f>
        <v>0</v>
      </c>
      <c r="K28" s="61">
        <f ca="1">EFEITO!$L$28*EFEITO!$Z$28</f>
        <v>9175.4537759266714</v>
      </c>
      <c r="L28" s="61">
        <f>EFEITO!$N$28*EFEITO!$AA$28</f>
        <v>536.15313930850903</v>
      </c>
      <c r="M28" s="61">
        <f>$J$28-EFEITO!$K$28*EFEITO!$Y$28</f>
        <v>0</v>
      </c>
      <c r="N28" s="61">
        <f ca="1">$K$28-EFEITO!$M$28*EFEITO!$Z$28</f>
        <v>0</v>
      </c>
      <c r="O28" s="61">
        <f>$L$28-EFEITO!$O$28*EFEITO!$AA$28</f>
        <v>0</v>
      </c>
      <c r="P28" s="45"/>
      <c r="Q28" s="45"/>
      <c r="R28" s="45"/>
      <c r="S28" s="45"/>
      <c r="T28" s="45"/>
      <c r="U28" s="45"/>
      <c r="V28" s="45"/>
      <c r="W28" s="4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1.25" customHeight="1" x14ac:dyDescent="0.2">
      <c r="A29" s="41" t="s">
        <v>21</v>
      </c>
      <c r="B29" s="41" t="s">
        <v>39</v>
      </c>
      <c r="C29" s="41" t="s">
        <v>40</v>
      </c>
      <c r="D29" s="41" t="s">
        <v>38</v>
      </c>
      <c r="E29" s="41" t="s">
        <v>25</v>
      </c>
      <c r="F29" s="41" t="s">
        <v>25</v>
      </c>
      <c r="G29" s="41" t="s">
        <v>25</v>
      </c>
      <c r="H29" s="41" t="s">
        <v>34</v>
      </c>
      <c r="I29" s="60">
        <v>44470</v>
      </c>
      <c r="J29" s="61">
        <f>EFEITO!$J$29*EFEITO!$Y$29</f>
        <v>0</v>
      </c>
      <c r="K29" s="61">
        <f ca="1">EFEITO!$L$29*EFEITO!$Z$29</f>
        <v>1334.9737306994286</v>
      </c>
      <c r="L29" s="61">
        <f>EFEITO!$N$29*EFEITO!$AA$29</f>
        <v>78.007079986254297</v>
      </c>
      <c r="M29" s="61">
        <f>$J$29-EFEITO!$K$29*EFEITO!$Y$29</f>
        <v>0</v>
      </c>
      <c r="N29" s="61">
        <f ca="1">$K$29-EFEITO!$M$29*EFEITO!$Z$29</f>
        <v>0</v>
      </c>
      <c r="O29" s="61">
        <f>$L$29-EFEITO!$O$29*EFEITO!$AA$29</f>
        <v>0</v>
      </c>
      <c r="P29" s="45"/>
      <c r="Q29" s="45"/>
      <c r="R29" s="45"/>
      <c r="S29" s="45"/>
      <c r="T29" s="45"/>
      <c r="U29" s="45"/>
      <c r="V29" s="45"/>
      <c r="W29" s="4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1.25" customHeight="1" x14ac:dyDescent="0.2">
      <c r="A30" s="41" t="s">
        <v>21</v>
      </c>
      <c r="B30" s="41" t="s">
        <v>39</v>
      </c>
      <c r="C30" s="41" t="s">
        <v>40</v>
      </c>
      <c r="D30" s="41" t="s">
        <v>38</v>
      </c>
      <c r="E30" s="41" t="s">
        <v>25</v>
      </c>
      <c r="F30" s="41" t="s">
        <v>25</v>
      </c>
      <c r="G30" s="41" t="s">
        <v>25</v>
      </c>
      <c r="H30" s="41" t="s">
        <v>34</v>
      </c>
      <c r="I30" s="60">
        <v>44501</v>
      </c>
      <c r="J30" s="61">
        <f>EFEITO!$J$30*EFEITO!$Y$30</f>
        <v>0</v>
      </c>
      <c r="K30" s="61">
        <f ca="1">EFEITO!$L$30*EFEITO!$Z$30</f>
        <v>2114.0404899583486</v>
      </c>
      <c r="L30" s="61">
        <f>EFEITO!$N$30*EFEITO!$AA$30</f>
        <v>123.53061472450119</v>
      </c>
      <c r="M30" s="61">
        <f>$J$30-EFEITO!$K$30*EFEITO!$Y$30</f>
        <v>0</v>
      </c>
      <c r="N30" s="61">
        <f ca="1">$K$30-EFEITO!$M$30*EFEITO!$Z$30</f>
        <v>0</v>
      </c>
      <c r="O30" s="61">
        <f>$L$30-EFEITO!$O$30*EFEITO!$AA$30</f>
        <v>0</v>
      </c>
      <c r="P30" s="45"/>
      <c r="Q30" s="45"/>
      <c r="R30" s="45"/>
      <c r="S30" s="45"/>
      <c r="T30" s="45"/>
      <c r="U30" s="45"/>
      <c r="V30" s="45"/>
      <c r="W30" s="4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1.25" customHeight="1" x14ac:dyDescent="0.2">
      <c r="A31" s="41" t="s">
        <v>21</v>
      </c>
      <c r="B31" s="41" t="s">
        <v>39</v>
      </c>
      <c r="C31" s="41" t="s">
        <v>40</v>
      </c>
      <c r="D31" s="41" t="s">
        <v>38</v>
      </c>
      <c r="E31" s="41" t="s">
        <v>25</v>
      </c>
      <c r="F31" s="41" t="s">
        <v>25</v>
      </c>
      <c r="G31" s="41" t="s">
        <v>25</v>
      </c>
      <c r="H31" s="41" t="s">
        <v>34</v>
      </c>
      <c r="I31" s="60">
        <v>44531</v>
      </c>
      <c r="J31" s="61">
        <f>EFEITO!$J$31*EFEITO!$Y$31</f>
        <v>0</v>
      </c>
      <c r="K31" s="61">
        <f ca="1">EFEITO!$L$31*EFEITO!$Z$31</f>
        <v>3706.0464762700558</v>
      </c>
      <c r="L31" s="61">
        <f>EFEITO!$N$31*EFEITO!$AA$31</f>
        <v>216.55696832004924</v>
      </c>
      <c r="M31" s="61">
        <f>$J$31-EFEITO!$K$31*EFEITO!$Y$31</f>
        <v>0</v>
      </c>
      <c r="N31" s="61">
        <f ca="1">$K$31-EFEITO!$M$31*EFEITO!$Z$31</f>
        <v>0</v>
      </c>
      <c r="O31" s="61">
        <f>$L$31-EFEITO!$O$31*EFEITO!$AA$31</f>
        <v>0</v>
      </c>
      <c r="P31" s="45"/>
      <c r="Q31" s="45"/>
      <c r="R31" s="45"/>
      <c r="S31" s="45"/>
      <c r="T31" s="45"/>
      <c r="U31" s="45"/>
      <c r="V31" s="45"/>
      <c r="W31" s="4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1.25" customHeight="1" x14ac:dyDescent="0.2">
      <c r="A32" s="41" t="s">
        <v>21</v>
      </c>
      <c r="B32" s="41" t="s">
        <v>39</v>
      </c>
      <c r="C32" s="41" t="s">
        <v>40</v>
      </c>
      <c r="D32" s="41" t="s">
        <v>38</v>
      </c>
      <c r="E32" s="41" t="s">
        <v>25</v>
      </c>
      <c r="F32" s="41" t="s">
        <v>25</v>
      </c>
      <c r="G32" s="41" t="s">
        <v>25</v>
      </c>
      <c r="H32" s="41" t="s">
        <v>34</v>
      </c>
      <c r="I32" s="60">
        <v>44562</v>
      </c>
      <c r="J32" s="61">
        <f>EFEITO!$J$32*EFEITO!$Y$32</f>
        <v>0</v>
      </c>
      <c r="K32" s="61">
        <f ca="1">EFEITO!$L$32*EFEITO!$Z$32</f>
        <v>1137.7164182527965</v>
      </c>
      <c r="L32" s="61">
        <f>EFEITO!$N$32*EFEITO!$AA$32</f>
        <v>66.480660704703283</v>
      </c>
      <c r="M32" s="61">
        <f>$J$32-EFEITO!$K$32*EFEITO!$Y$32</f>
        <v>0</v>
      </c>
      <c r="N32" s="61">
        <f ca="1">$K$32-EFEITO!$M$32*EFEITO!$Z$32</f>
        <v>0</v>
      </c>
      <c r="O32" s="61">
        <f>$L$32-EFEITO!$O$32*EFEITO!$AA$32</f>
        <v>0</v>
      </c>
      <c r="P32" s="45"/>
      <c r="Q32" s="45"/>
      <c r="R32" s="45"/>
      <c r="S32" s="45"/>
      <c r="T32" s="45"/>
      <c r="U32" s="45"/>
      <c r="V32" s="45"/>
      <c r="W32" s="4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1.25" customHeight="1" x14ac:dyDescent="0.2">
      <c r="A33" s="41" t="s">
        <v>21</v>
      </c>
      <c r="B33" s="41" t="s">
        <v>39</v>
      </c>
      <c r="C33" s="41" t="s">
        <v>40</v>
      </c>
      <c r="D33" s="41" t="s">
        <v>38</v>
      </c>
      <c r="E33" s="41" t="s">
        <v>25</v>
      </c>
      <c r="F33" s="41" t="s">
        <v>25</v>
      </c>
      <c r="G33" s="41" t="s">
        <v>25</v>
      </c>
      <c r="H33" s="41" t="s">
        <v>34</v>
      </c>
      <c r="I33" s="60">
        <v>44593</v>
      </c>
      <c r="J33" s="61">
        <f>EFEITO!$J$33*EFEITO!$Y$33</f>
        <v>0</v>
      </c>
      <c r="K33" s="61">
        <f ca="1">EFEITO!$L$33*EFEITO!$Z$33</f>
        <v>4700.3030309253018</v>
      </c>
      <c r="L33" s="61">
        <f>EFEITO!$N$33*EFEITO!$AA$33</f>
        <v>274.65477863816994</v>
      </c>
      <c r="M33" s="61">
        <f>$J$33-EFEITO!$K$33*EFEITO!$Y$33</f>
        <v>0</v>
      </c>
      <c r="N33" s="61">
        <f ca="1">$K$33-EFEITO!$M$33*EFEITO!$Z$33</f>
        <v>0</v>
      </c>
      <c r="O33" s="61">
        <f>$L$33-EFEITO!$O$33*EFEITO!$AA$33</f>
        <v>0</v>
      </c>
      <c r="P33" s="45"/>
      <c r="Q33" s="45"/>
      <c r="R33" s="45"/>
      <c r="S33" s="45"/>
      <c r="T33" s="45"/>
      <c r="U33" s="45"/>
      <c r="V33" s="45"/>
      <c r="W33" s="4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1.25" customHeight="1" x14ac:dyDescent="0.2">
      <c r="A34" s="41" t="s">
        <v>21</v>
      </c>
      <c r="B34" s="41" t="s">
        <v>39</v>
      </c>
      <c r="C34" s="41" t="s">
        <v>40</v>
      </c>
      <c r="D34" s="41" t="s">
        <v>38</v>
      </c>
      <c r="E34" s="41" t="s">
        <v>25</v>
      </c>
      <c r="F34" s="41" t="s">
        <v>25</v>
      </c>
      <c r="G34" s="41" t="s">
        <v>25</v>
      </c>
      <c r="H34" s="41" t="s">
        <v>34</v>
      </c>
      <c r="I34" s="60">
        <v>44621</v>
      </c>
      <c r="J34" s="61">
        <f>EFEITO!$J$34*EFEITO!$Y$34</f>
        <v>0</v>
      </c>
      <c r="K34" s="61">
        <f ca="1">EFEITO!$L$34*EFEITO!$Z$34</f>
        <v>12630.445490901013</v>
      </c>
      <c r="L34" s="61">
        <f>EFEITO!$N$34*EFEITO!$AA$34</f>
        <v>738.04011945203877</v>
      </c>
      <c r="M34" s="61">
        <f>$J$34-EFEITO!$K$34*EFEITO!$Y$34</f>
        <v>0</v>
      </c>
      <c r="N34" s="61">
        <f ca="1">$K$34-EFEITO!$M$34*EFEITO!$Z$34</f>
        <v>0</v>
      </c>
      <c r="O34" s="61">
        <f>$L$34-EFEITO!$O$34*EFEITO!$AA$34</f>
        <v>0</v>
      </c>
      <c r="P34" s="45"/>
      <c r="Q34" s="45"/>
      <c r="R34" s="45"/>
      <c r="S34" s="45"/>
      <c r="T34" s="45"/>
      <c r="U34" s="45"/>
      <c r="V34" s="45"/>
      <c r="W34" s="4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1.25" customHeight="1" x14ac:dyDescent="0.2">
      <c r="A35" s="41" t="s">
        <v>21</v>
      </c>
      <c r="B35" s="41" t="s">
        <v>39</v>
      </c>
      <c r="C35" s="41" t="s">
        <v>40</v>
      </c>
      <c r="D35" s="41" t="s">
        <v>38</v>
      </c>
      <c r="E35" s="41" t="s">
        <v>25</v>
      </c>
      <c r="F35" s="41" t="s">
        <v>25</v>
      </c>
      <c r="G35" s="41" t="s">
        <v>25</v>
      </c>
      <c r="H35" s="41" t="s">
        <v>34</v>
      </c>
      <c r="I35" s="60">
        <v>44652</v>
      </c>
      <c r="J35" s="61">
        <f>EFEITO!$J$35*EFEITO!$Y$35</f>
        <v>0</v>
      </c>
      <c r="K35" s="61">
        <f ca="1">EFEITO!$L$35*EFEITO!$Z$35</f>
        <v>8258.9046473867638</v>
      </c>
      <c r="L35" s="61">
        <f>EFEITO!$N$35*EFEITO!$AA$35</f>
        <v>482.59603961645371</v>
      </c>
      <c r="M35" s="61">
        <f>$J$35-EFEITO!$K$35*EFEITO!$Y$35</f>
        <v>0</v>
      </c>
      <c r="N35" s="61">
        <f ca="1">$K$35-EFEITO!$M$35*EFEITO!$Z$35</f>
        <v>0</v>
      </c>
      <c r="O35" s="61">
        <f>$L$35-EFEITO!$O$35*EFEITO!$AA$35</f>
        <v>0</v>
      </c>
      <c r="P35" s="45"/>
      <c r="Q35" s="45"/>
      <c r="R35" s="45"/>
      <c r="S35" s="45"/>
      <c r="T35" s="45"/>
      <c r="U35" s="45"/>
      <c r="V35" s="45"/>
      <c r="W35" s="4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1.25" customHeight="1" x14ac:dyDescent="0.2">
      <c r="A36" s="41" t="s">
        <v>21</v>
      </c>
      <c r="B36" s="41" t="s">
        <v>39</v>
      </c>
      <c r="C36" s="41" t="s">
        <v>40</v>
      </c>
      <c r="D36" s="41" t="s">
        <v>38</v>
      </c>
      <c r="E36" s="41" t="s">
        <v>25</v>
      </c>
      <c r="F36" s="41" t="s">
        <v>25</v>
      </c>
      <c r="G36" s="41" t="s">
        <v>25</v>
      </c>
      <c r="H36" s="41" t="s">
        <v>34</v>
      </c>
      <c r="I36" s="60">
        <v>44682</v>
      </c>
      <c r="J36" s="61">
        <f>EFEITO!$J$36*EFEITO!$Y$36</f>
        <v>0</v>
      </c>
      <c r="K36" s="61">
        <f ca="1">EFEITO!$L$36*EFEITO!$Z$36</f>
        <v>6975.7358674308953</v>
      </c>
      <c r="L36" s="61">
        <f>EFEITO!$N$36*EFEITO!$AA$36</f>
        <v>407.61610004757648</v>
      </c>
      <c r="M36" s="61">
        <f>$J$36-EFEITO!$K$36*EFEITO!$Y$36</f>
        <v>0</v>
      </c>
      <c r="N36" s="61">
        <f ca="1">$K$36-EFEITO!$M$36*EFEITO!$Z$36</f>
        <v>0</v>
      </c>
      <c r="O36" s="61">
        <f>$L$36-EFEITO!$O$36*EFEITO!$AA$36</f>
        <v>0</v>
      </c>
      <c r="P36" s="45"/>
      <c r="Q36" s="45"/>
      <c r="R36" s="45"/>
      <c r="S36" s="45"/>
      <c r="T36" s="45"/>
      <c r="U36" s="45"/>
      <c r="V36" s="45"/>
      <c r="W36" s="4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.25" customHeight="1" x14ac:dyDescent="0.2">
      <c r="A37" s="41" t="s">
        <v>21</v>
      </c>
      <c r="B37" s="41" t="s">
        <v>39</v>
      </c>
      <c r="C37" s="41" t="s">
        <v>40</v>
      </c>
      <c r="D37" s="41" t="s">
        <v>38</v>
      </c>
      <c r="E37" s="41" t="s">
        <v>25</v>
      </c>
      <c r="F37" s="41" t="s">
        <v>25</v>
      </c>
      <c r="G37" s="41" t="s">
        <v>25</v>
      </c>
      <c r="H37" s="41" t="s">
        <v>34</v>
      </c>
      <c r="I37" s="60">
        <v>44713</v>
      </c>
      <c r="J37" s="61">
        <f>EFEITO!$J$37*EFEITO!$Y$37</f>
        <v>0</v>
      </c>
      <c r="K37" s="61">
        <f ca="1">EFEITO!$L$37*EFEITO!$Z$37</f>
        <v>7697.0201816296913</v>
      </c>
      <c r="L37" s="61">
        <f>EFEITO!$N$37*EFEITO!$AA$37</f>
        <v>449.76320893567214</v>
      </c>
      <c r="M37" s="61">
        <f>$J$37-EFEITO!$K$37*EFEITO!$Y$37</f>
        <v>0</v>
      </c>
      <c r="N37" s="61">
        <f ca="1">$K$37-EFEITO!$M$37*EFEITO!$Z$37</f>
        <v>0</v>
      </c>
      <c r="O37" s="61">
        <f>$L$37-EFEITO!$O$37*EFEITO!$AA$37</f>
        <v>0</v>
      </c>
      <c r="P37" s="45"/>
      <c r="Q37" s="45"/>
      <c r="R37" s="45"/>
      <c r="S37" s="45"/>
      <c r="T37" s="45"/>
      <c r="U37" s="45"/>
      <c r="V37" s="45"/>
      <c r="W37" s="4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1.25" customHeight="1" x14ac:dyDescent="0.2">
      <c r="A38" s="41" t="s">
        <v>21</v>
      </c>
      <c r="B38" s="41" t="s">
        <v>39</v>
      </c>
      <c r="C38" s="41" t="s">
        <v>40</v>
      </c>
      <c r="D38" s="41" t="s">
        <v>49</v>
      </c>
      <c r="E38" s="41" t="s">
        <v>25</v>
      </c>
      <c r="F38" s="41" t="s">
        <v>25</v>
      </c>
      <c r="G38" s="41" t="s">
        <v>25</v>
      </c>
      <c r="H38" s="41" t="s">
        <v>35</v>
      </c>
      <c r="I38" s="60">
        <v>44470</v>
      </c>
      <c r="J38" s="61">
        <f>EFEITO!$J$38*EFEITO!$Y$38</f>
        <v>0</v>
      </c>
      <c r="K38" s="61">
        <f ca="1">EFEITO!$L$38*EFEITO!$Z$38</f>
        <v>1132.8330531964434</v>
      </c>
      <c r="L38" s="61">
        <f>EFEITO!$N$38*EFEITO!$AA$38</f>
        <v>1357.7889056711904</v>
      </c>
      <c r="M38" s="61">
        <f>$J$38-EFEITO!$K$38*EFEITO!$Y$38</f>
        <v>0</v>
      </c>
      <c r="N38" s="61">
        <f ca="1">$K$38-EFEITO!$M$38*EFEITO!$Z$38</f>
        <v>0</v>
      </c>
      <c r="O38" s="61">
        <f>$L$38-EFEITO!$O$38*EFEITO!$AA$38</f>
        <v>0</v>
      </c>
      <c r="P38" s="45"/>
      <c r="Q38" s="45"/>
      <c r="R38" s="45"/>
      <c r="S38" s="45"/>
      <c r="T38" s="45"/>
      <c r="U38" s="45"/>
      <c r="V38" s="45"/>
      <c r="W38" s="4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1.25" customHeight="1" x14ac:dyDescent="0.2">
      <c r="A39" s="41" t="s">
        <v>21</v>
      </c>
      <c r="B39" s="41" t="s">
        <v>39</v>
      </c>
      <c r="C39" s="41" t="s">
        <v>40</v>
      </c>
      <c r="D39" s="41" t="s">
        <v>49</v>
      </c>
      <c r="E39" s="41" t="s">
        <v>25</v>
      </c>
      <c r="F39" s="41" t="s">
        <v>25</v>
      </c>
      <c r="G39" s="41" t="s">
        <v>25</v>
      </c>
      <c r="H39" s="41" t="s">
        <v>35</v>
      </c>
      <c r="I39" s="60">
        <v>44501</v>
      </c>
      <c r="J39" s="61">
        <f>EFEITO!$J$39*EFEITO!$Y$39</f>
        <v>0</v>
      </c>
      <c r="K39" s="61">
        <f ca="1">EFEITO!$L$39*EFEITO!$Z$39</f>
        <v>5771.5036748127841</v>
      </c>
      <c r="L39" s="61">
        <f>EFEITO!$N$39*EFEITO!$AA$39</f>
        <v>6917.5979960944751</v>
      </c>
      <c r="M39" s="61">
        <f>$J$39-EFEITO!$K$39*EFEITO!$Y$39</f>
        <v>0</v>
      </c>
      <c r="N39" s="61">
        <f ca="1">$K$39-EFEITO!$M$39*EFEITO!$Z$39</f>
        <v>0</v>
      </c>
      <c r="O39" s="61">
        <f>$L$39-EFEITO!$O$39*EFEITO!$AA$39</f>
        <v>0</v>
      </c>
      <c r="P39" s="45"/>
      <c r="Q39" s="45"/>
      <c r="R39" s="45"/>
      <c r="S39" s="45"/>
      <c r="T39" s="45"/>
      <c r="U39" s="45"/>
      <c r="V39" s="45"/>
      <c r="W39" s="4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1.25" customHeight="1" x14ac:dyDescent="0.2">
      <c r="A40" s="41" t="s">
        <v>21</v>
      </c>
      <c r="B40" s="41" t="s">
        <v>39</v>
      </c>
      <c r="C40" s="41" t="s">
        <v>40</v>
      </c>
      <c r="D40" s="41" t="s">
        <v>49</v>
      </c>
      <c r="E40" s="41" t="s">
        <v>25</v>
      </c>
      <c r="F40" s="41" t="s">
        <v>25</v>
      </c>
      <c r="G40" s="41" t="s">
        <v>25</v>
      </c>
      <c r="H40" s="41" t="s">
        <v>35</v>
      </c>
      <c r="I40" s="60">
        <v>44531</v>
      </c>
      <c r="J40" s="61">
        <f>EFEITO!$J$40*EFEITO!$Y$40</f>
        <v>0</v>
      </c>
      <c r="K40" s="61">
        <f ca="1">EFEITO!$L$40*EFEITO!$Z$40</f>
        <v>5210.3326451166895</v>
      </c>
      <c r="L40" s="61">
        <f>EFEITO!$N$40*EFEITO!$AA$40</f>
        <v>6244.9906810488174</v>
      </c>
      <c r="M40" s="61">
        <f>$J$40-EFEITO!$K$40*EFEITO!$Y$40</f>
        <v>0</v>
      </c>
      <c r="N40" s="61">
        <f ca="1">$K$40-EFEITO!$M$40*EFEITO!$Z$40</f>
        <v>0</v>
      </c>
      <c r="O40" s="61">
        <f>$L$40-EFEITO!$O$40*EFEITO!$AA$40</f>
        <v>0</v>
      </c>
      <c r="P40" s="45"/>
      <c r="Q40" s="45"/>
      <c r="R40" s="45"/>
      <c r="S40" s="45"/>
      <c r="T40" s="45"/>
      <c r="U40" s="45"/>
      <c r="V40" s="45"/>
      <c r="W40" s="4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1.25" customHeight="1" x14ac:dyDescent="0.2">
      <c r="A41" s="41" t="s">
        <v>21</v>
      </c>
      <c r="B41" s="41" t="s">
        <v>39</v>
      </c>
      <c r="C41" s="41" t="s">
        <v>40</v>
      </c>
      <c r="D41" s="41" t="s">
        <v>49</v>
      </c>
      <c r="E41" s="41" t="s">
        <v>25</v>
      </c>
      <c r="F41" s="41" t="s">
        <v>25</v>
      </c>
      <c r="G41" s="41" t="s">
        <v>25</v>
      </c>
      <c r="H41" s="41" t="s">
        <v>35</v>
      </c>
      <c r="I41" s="60">
        <v>44562</v>
      </c>
      <c r="J41" s="61">
        <f>EFEITO!$J$41*EFEITO!$Y$41</f>
        <v>0</v>
      </c>
      <c r="K41" s="61">
        <f ca="1">EFEITO!$L$41*EFEITO!$Z$41</f>
        <v>7895.5413648482354</v>
      </c>
      <c r="L41" s="61">
        <f>EFEITO!$N$41*EFEITO!$AA$41</f>
        <v>9463.4230871085601</v>
      </c>
      <c r="M41" s="61">
        <f>$J$41-EFEITO!$K$41*EFEITO!$Y$41</f>
        <v>0</v>
      </c>
      <c r="N41" s="61">
        <f ca="1">$K$41-EFEITO!$M$41*EFEITO!$Z$41</f>
        <v>0</v>
      </c>
      <c r="O41" s="61">
        <f>$L$41-EFEITO!$O$41*EFEITO!$AA$41</f>
        <v>0</v>
      </c>
      <c r="P41" s="45"/>
      <c r="Q41" s="45"/>
      <c r="R41" s="45"/>
      <c r="S41" s="45"/>
      <c r="T41" s="45"/>
      <c r="U41" s="45"/>
      <c r="V41" s="45"/>
      <c r="W41" s="4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1.25" customHeight="1" x14ac:dyDescent="0.2">
      <c r="A42" s="41" t="s">
        <v>21</v>
      </c>
      <c r="B42" s="41" t="s">
        <v>39</v>
      </c>
      <c r="C42" s="41" t="s">
        <v>40</v>
      </c>
      <c r="D42" s="41" t="s">
        <v>49</v>
      </c>
      <c r="E42" s="41" t="s">
        <v>25</v>
      </c>
      <c r="F42" s="41" t="s">
        <v>25</v>
      </c>
      <c r="G42" s="41" t="s">
        <v>25</v>
      </c>
      <c r="H42" s="41" t="s">
        <v>35</v>
      </c>
      <c r="I42" s="60">
        <v>44593</v>
      </c>
      <c r="J42" s="61">
        <f>EFEITO!$J$42*EFEITO!$Y$42</f>
        <v>0</v>
      </c>
      <c r="K42" s="61">
        <f ca="1">EFEITO!$L$42*EFEITO!$Z$42</f>
        <v>10782.118882322555</v>
      </c>
      <c r="L42" s="61">
        <f>EFEITO!$N$42*EFEITO!$AA$42</f>
        <v>12923.211727215325</v>
      </c>
      <c r="M42" s="61">
        <f>$J$42-EFEITO!$K$42*EFEITO!$Y$42</f>
        <v>0</v>
      </c>
      <c r="N42" s="61">
        <f ca="1">$K$42-EFEITO!$M$42*EFEITO!$Z$42</f>
        <v>0</v>
      </c>
      <c r="O42" s="61">
        <f>$L$42-EFEITO!$O$42*EFEITO!$AA$42</f>
        <v>0</v>
      </c>
      <c r="P42" s="45"/>
      <c r="Q42" s="45"/>
      <c r="R42" s="45"/>
      <c r="S42" s="45"/>
      <c r="T42" s="45"/>
      <c r="U42" s="45"/>
      <c r="V42" s="45"/>
      <c r="W42" s="4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1.25" customHeight="1" x14ac:dyDescent="0.2">
      <c r="A43" s="41" t="s">
        <v>21</v>
      </c>
      <c r="B43" s="41" t="s">
        <v>39</v>
      </c>
      <c r="C43" s="41" t="s">
        <v>40</v>
      </c>
      <c r="D43" s="41" t="s">
        <v>49</v>
      </c>
      <c r="E43" s="41" t="s">
        <v>25</v>
      </c>
      <c r="F43" s="41" t="s">
        <v>25</v>
      </c>
      <c r="G43" s="41" t="s">
        <v>25</v>
      </c>
      <c r="H43" s="41" t="s">
        <v>35</v>
      </c>
      <c r="I43" s="60">
        <v>44621</v>
      </c>
      <c r="J43" s="61">
        <f>EFEITO!$J$43*EFEITO!$Y$43</f>
        <v>0</v>
      </c>
      <c r="K43" s="61">
        <f ca="1">EFEITO!$L$43*EFEITO!$Z$43</f>
        <v>13051.864819639319</v>
      </c>
      <c r="L43" s="61">
        <f>EFEITO!$N$43*EFEITO!$AA$43</f>
        <v>15643.679534616545</v>
      </c>
      <c r="M43" s="61">
        <f>$J$43-EFEITO!$K$43*EFEITO!$Y$43</f>
        <v>0</v>
      </c>
      <c r="N43" s="61">
        <f ca="1">$K$43-EFEITO!$M$43*EFEITO!$Z$43</f>
        <v>0</v>
      </c>
      <c r="O43" s="61">
        <f>$L$43-EFEITO!$O$43*EFEITO!$AA$43</f>
        <v>0</v>
      </c>
      <c r="P43" s="45"/>
      <c r="Q43" s="45"/>
      <c r="R43" s="45"/>
      <c r="S43" s="45"/>
      <c r="T43" s="45"/>
      <c r="U43" s="45"/>
      <c r="V43" s="45"/>
      <c r="W43" s="4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1.25" customHeight="1" x14ac:dyDescent="0.2">
      <c r="A44" s="41" t="s">
        <v>21</v>
      </c>
      <c r="B44" s="41" t="s">
        <v>39</v>
      </c>
      <c r="C44" s="41" t="s">
        <v>40</v>
      </c>
      <c r="D44" s="41" t="s">
        <v>49</v>
      </c>
      <c r="E44" s="41" t="s">
        <v>25</v>
      </c>
      <c r="F44" s="41" t="s">
        <v>25</v>
      </c>
      <c r="G44" s="41" t="s">
        <v>25</v>
      </c>
      <c r="H44" s="41" t="s">
        <v>35</v>
      </c>
      <c r="I44" s="60">
        <v>44652</v>
      </c>
      <c r="J44" s="61">
        <f>EFEITO!$J$44*EFEITO!$Y$44</f>
        <v>0</v>
      </c>
      <c r="K44" s="61">
        <f ca="1">EFEITO!$L$44*EFEITO!$Z$44</f>
        <v>10457.578046211313</v>
      </c>
      <c r="L44" s="61">
        <f>EFEITO!$N$44*EFEITO!$AA$44</f>
        <v>12534.224183582377</v>
      </c>
      <c r="M44" s="61">
        <f>$J$44-EFEITO!$K$44*EFEITO!$Y$44</f>
        <v>0</v>
      </c>
      <c r="N44" s="61">
        <f ca="1">$K$44-EFEITO!$M$44*EFEITO!$Z$44</f>
        <v>0</v>
      </c>
      <c r="O44" s="61">
        <f>$L$44-EFEITO!$O$44*EFEITO!$AA$44</f>
        <v>0</v>
      </c>
      <c r="P44" s="45"/>
      <c r="Q44" s="45"/>
      <c r="R44" s="45"/>
      <c r="S44" s="45"/>
      <c r="T44" s="45"/>
      <c r="U44" s="45"/>
      <c r="V44" s="45"/>
      <c r="W44" s="4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1.25" customHeight="1" x14ac:dyDescent="0.2">
      <c r="A45" s="41" t="s">
        <v>21</v>
      </c>
      <c r="B45" s="41" t="s">
        <v>39</v>
      </c>
      <c r="C45" s="41" t="s">
        <v>40</v>
      </c>
      <c r="D45" s="41" t="s">
        <v>49</v>
      </c>
      <c r="E45" s="41" t="s">
        <v>25</v>
      </c>
      <c r="F45" s="41" t="s">
        <v>25</v>
      </c>
      <c r="G45" s="41" t="s">
        <v>25</v>
      </c>
      <c r="H45" s="41" t="s">
        <v>35</v>
      </c>
      <c r="I45" s="60">
        <v>44682</v>
      </c>
      <c r="J45" s="61">
        <f>EFEITO!$J$45*EFEITO!$Y$45</f>
        <v>0</v>
      </c>
      <c r="K45" s="61">
        <f ca="1">EFEITO!$L$45*EFEITO!$Z$45</f>
        <v>8839.6336683996178</v>
      </c>
      <c r="L45" s="61">
        <f>EFEITO!$N$45*EFEITO!$AA$45</f>
        <v>10594.991460819612</v>
      </c>
      <c r="M45" s="61">
        <f>$J$45-EFEITO!$K$45*EFEITO!$Y$45</f>
        <v>0</v>
      </c>
      <c r="N45" s="61">
        <f ca="1">$K$45-EFEITO!$M$45*EFEITO!$Z$45</f>
        <v>0</v>
      </c>
      <c r="O45" s="61">
        <f>$L$45-EFEITO!$O$45*EFEITO!$AA$45</f>
        <v>0</v>
      </c>
      <c r="P45" s="45"/>
      <c r="Q45" s="45"/>
      <c r="R45" s="45"/>
      <c r="S45" s="45"/>
      <c r="T45" s="45"/>
      <c r="U45" s="45"/>
      <c r="V45" s="45"/>
      <c r="W45" s="4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1.25" customHeight="1" x14ac:dyDescent="0.2">
      <c r="A46" s="41" t="s">
        <v>21</v>
      </c>
      <c r="B46" s="41" t="s">
        <v>39</v>
      </c>
      <c r="C46" s="41" t="s">
        <v>40</v>
      </c>
      <c r="D46" s="41" t="s">
        <v>49</v>
      </c>
      <c r="E46" s="41" t="s">
        <v>25</v>
      </c>
      <c r="F46" s="41" t="s">
        <v>25</v>
      </c>
      <c r="G46" s="41" t="s">
        <v>25</v>
      </c>
      <c r="H46" s="41" t="s">
        <v>35</v>
      </c>
      <c r="I46" s="60">
        <v>44713</v>
      </c>
      <c r="J46" s="61">
        <f>EFEITO!$J$46*EFEITO!$Y$46</f>
        <v>0</v>
      </c>
      <c r="K46" s="61">
        <f ca="1">EFEITO!$L$46*EFEITO!$Z$46</f>
        <v>7116.8764913769019</v>
      </c>
      <c r="L46" s="61">
        <f>EFEITO!$N$46*EFEITO!$AA$46</f>
        <v>8530.1324107357013</v>
      </c>
      <c r="M46" s="61">
        <f>$J$46-EFEITO!$K$46*EFEITO!$Y$46</f>
        <v>0</v>
      </c>
      <c r="N46" s="61">
        <f ca="1">$K$46-EFEITO!$M$46*EFEITO!$Z$46</f>
        <v>0</v>
      </c>
      <c r="O46" s="61">
        <f>$L$46-EFEITO!$O$46*EFEITO!$AA$46</f>
        <v>0</v>
      </c>
      <c r="P46" s="45"/>
      <c r="Q46" s="45"/>
      <c r="R46" s="45"/>
      <c r="S46" s="45"/>
      <c r="T46" s="45"/>
      <c r="U46" s="45"/>
      <c r="V46" s="45"/>
      <c r="W46" s="4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1.25" customHeight="1" x14ac:dyDescent="0.2">
      <c r="A47" s="41" t="s">
        <v>21</v>
      </c>
      <c r="B47" s="41" t="s">
        <v>39</v>
      </c>
      <c r="C47" s="41" t="s">
        <v>40</v>
      </c>
      <c r="D47" s="41" t="s">
        <v>49</v>
      </c>
      <c r="E47" s="41" t="s">
        <v>25</v>
      </c>
      <c r="F47" s="41" t="s">
        <v>25</v>
      </c>
      <c r="G47" s="41" t="s">
        <v>25</v>
      </c>
      <c r="H47" s="41" t="s">
        <v>25</v>
      </c>
      <c r="I47" s="60">
        <v>44470</v>
      </c>
      <c r="J47" s="61">
        <f ca="1">EFEITO!$J$47*EFEITO!$Y$47</f>
        <v>3807.2846804904884</v>
      </c>
      <c r="K47" s="61">
        <f>EFEITO!$L$47*EFEITO!$Z$47</f>
        <v>0</v>
      </c>
      <c r="L47" s="61">
        <f>EFEITO!$N$47*EFEITO!$AA$47</f>
        <v>0</v>
      </c>
      <c r="M47" s="61">
        <f ca="1">$J$47-EFEITO!$K$47*EFEITO!$Y$47</f>
        <v>0</v>
      </c>
      <c r="N47" s="61">
        <f>$K$47-EFEITO!$M$47*EFEITO!$Z$47</f>
        <v>0</v>
      </c>
      <c r="O47" s="61">
        <f>$L$47-EFEITO!$O$47*EFEITO!$AA$47</f>
        <v>0</v>
      </c>
      <c r="P47" s="45"/>
      <c r="Q47" s="45"/>
      <c r="R47" s="45"/>
      <c r="S47" s="45"/>
      <c r="T47" s="45"/>
      <c r="U47" s="45"/>
      <c r="V47" s="45"/>
      <c r="W47" s="4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1.25" customHeight="1" x14ac:dyDescent="0.2">
      <c r="A48" s="41" t="s">
        <v>21</v>
      </c>
      <c r="B48" s="41" t="s">
        <v>39</v>
      </c>
      <c r="C48" s="41" t="s">
        <v>40</v>
      </c>
      <c r="D48" s="41" t="s">
        <v>49</v>
      </c>
      <c r="E48" s="41" t="s">
        <v>25</v>
      </c>
      <c r="F48" s="41" t="s">
        <v>25</v>
      </c>
      <c r="G48" s="41" t="s">
        <v>25</v>
      </c>
      <c r="H48" s="41" t="s">
        <v>25</v>
      </c>
      <c r="I48" s="60">
        <v>44501</v>
      </c>
      <c r="J48" s="61">
        <f ca="1">EFEITO!$J$48*EFEITO!$Y$48</f>
        <v>5013.5530941112374</v>
      </c>
      <c r="K48" s="61">
        <f>EFEITO!$L$48*EFEITO!$Z$48</f>
        <v>0</v>
      </c>
      <c r="L48" s="61">
        <f>EFEITO!$N$48*EFEITO!$AA$48</f>
        <v>0</v>
      </c>
      <c r="M48" s="61">
        <f ca="1">$J$48-EFEITO!$K$48*EFEITO!$Y$48</f>
        <v>0</v>
      </c>
      <c r="N48" s="61">
        <f>$K$48-EFEITO!$M$48*EFEITO!$Z$48</f>
        <v>0</v>
      </c>
      <c r="O48" s="61">
        <f>$L$48-EFEITO!$O$48*EFEITO!$AA$48</f>
        <v>0</v>
      </c>
      <c r="P48" s="45"/>
      <c r="Q48" s="45"/>
      <c r="R48" s="45"/>
      <c r="S48" s="45"/>
      <c r="T48" s="45"/>
      <c r="U48" s="45"/>
      <c r="V48" s="45"/>
      <c r="W48" s="4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1.25" customHeight="1" x14ac:dyDescent="0.2">
      <c r="A49" s="41" t="s">
        <v>21</v>
      </c>
      <c r="B49" s="41" t="s">
        <v>39</v>
      </c>
      <c r="C49" s="41" t="s">
        <v>40</v>
      </c>
      <c r="D49" s="41" t="s">
        <v>49</v>
      </c>
      <c r="E49" s="41" t="s">
        <v>25</v>
      </c>
      <c r="F49" s="41" t="s">
        <v>25</v>
      </c>
      <c r="G49" s="41" t="s">
        <v>25</v>
      </c>
      <c r="H49" s="41" t="s">
        <v>25</v>
      </c>
      <c r="I49" s="60">
        <v>44531</v>
      </c>
      <c r="J49" s="61">
        <f ca="1">EFEITO!$J$49*EFEITO!$Y$49</f>
        <v>10404.065067478958</v>
      </c>
      <c r="K49" s="61">
        <f>EFEITO!$L$49*EFEITO!$Z$49</f>
        <v>0</v>
      </c>
      <c r="L49" s="61">
        <f>EFEITO!$N$49*EFEITO!$AA$49</f>
        <v>0</v>
      </c>
      <c r="M49" s="61">
        <f ca="1">$J$49-EFEITO!$K$49*EFEITO!$Y$49</f>
        <v>0</v>
      </c>
      <c r="N49" s="61">
        <f>$K$49-EFEITO!$M$49*EFEITO!$Z$49</f>
        <v>0</v>
      </c>
      <c r="O49" s="61">
        <f>$L$49-EFEITO!$O$49*EFEITO!$AA$49</f>
        <v>0</v>
      </c>
      <c r="P49" s="45"/>
      <c r="Q49" s="45"/>
      <c r="R49" s="45"/>
      <c r="S49" s="45"/>
      <c r="T49" s="45"/>
      <c r="U49" s="45"/>
      <c r="V49" s="45"/>
      <c r="W49" s="4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1.25" customHeight="1" x14ac:dyDescent="0.2">
      <c r="A50" s="41" t="s">
        <v>21</v>
      </c>
      <c r="B50" s="41" t="s">
        <v>39</v>
      </c>
      <c r="C50" s="41" t="s">
        <v>40</v>
      </c>
      <c r="D50" s="41" t="s">
        <v>49</v>
      </c>
      <c r="E50" s="41" t="s">
        <v>25</v>
      </c>
      <c r="F50" s="41" t="s">
        <v>25</v>
      </c>
      <c r="G50" s="41" t="s">
        <v>25</v>
      </c>
      <c r="H50" s="41" t="s">
        <v>25</v>
      </c>
      <c r="I50" s="60">
        <v>44562</v>
      </c>
      <c r="J50" s="61">
        <f ca="1">EFEITO!$J$50*EFEITO!$Y$50</f>
        <v>6144.4297318806894</v>
      </c>
      <c r="K50" s="61">
        <f>EFEITO!$L$50*EFEITO!$Z$50</f>
        <v>0</v>
      </c>
      <c r="L50" s="61">
        <f>EFEITO!$N$50*EFEITO!$AA$50</f>
        <v>0</v>
      </c>
      <c r="M50" s="61">
        <f ca="1">$J$50-EFEITO!$K$50*EFEITO!$Y$50</f>
        <v>0</v>
      </c>
      <c r="N50" s="61">
        <f>$K$50-EFEITO!$M$50*EFEITO!$Z$50</f>
        <v>0</v>
      </c>
      <c r="O50" s="61">
        <f>$L$50-EFEITO!$O$50*EFEITO!$AA$50</f>
        <v>0</v>
      </c>
      <c r="P50" s="45"/>
      <c r="Q50" s="45"/>
      <c r="R50" s="45"/>
      <c r="S50" s="45"/>
      <c r="T50" s="45"/>
      <c r="U50" s="45"/>
      <c r="V50" s="45"/>
      <c r="W50" s="4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1.25" customHeight="1" x14ac:dyDescent="0.2">
      <c r="A51" s="41" t="s">
        <v>21</v>
      </c>
      <c r="B51" s="41" t="s">
        <v>39</v>
      </c>
      <c r="C51" s="41" t="s">
        <v>40</v>
      </c>
      <c r="D51" s="41" t="s">
        <v>49</v>
      </c>
      <c r="E51" s="41" t="s">
        <v>25</v>
      </c>
      <c r="F51" s="41" t="s">
        <v>25</v>
      </c>
      <c r="G51" s="41" t="s">
        <v>25</v>
      </c>
      <c r="H51" s="41" t="s">
        <v>25</v>
      </c>
      <c r="I51" s="60">
        <v>44593</v>
      </c>
      <c r="J51" s="61">
        <f ca="1">EFEITO!$J$51*EFEITO!$Y$51</f>
        <v>18847.9439628242</v>
      </c>
      <c r="K51" s="61">
        <f>EFEITO!$L$51*EFEITO!$Z$51</f>
        <v>0</v>
      </c>
      <c r="L51" s="61">
        <f>EFEITO!$N$51*EFEITO!$AA$51</f>
        <v>0</v>
      </c>
      <c r="M51" s="61">
        <f ca="1">$J$51-EFEITO!$K$51*EFEITO!$Y$51</f>
        <v>0</v>
      </c>
      <c r="N51" s="61">
        <f>$K$51-EFEITO!$M$51*EFEITO!$Z$51</f>
        <v>0</v>
      </c>
      <c r="O51" s="61">
        <f>$L$51-EFEITO!$O$51*EFEITO!$AA$51</f>
        <v>0</v>
      </c>
      <c r="P51" s="45"/>
      <c r="Q51" s="45"/>
      <c r="R51" s="45"/>
      <c r="S51" s="45"/>
      <c r="T51" s="45"/>
      <c r="U51" s="45"/>
      <c r="V51" s="45"/>
      <c r="W51" s="4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1.25" customHeight="1" x14ac:dyDescent="0.2">
      <c r="A52" s="41" t="s">
        <v>21</v>
      </c>
      <c r="B52" s="41" t="s">
        <v>39</v>
      </c>
      <c r="C52" s="41" t="s">
        <v>40</v>
      </c>
      <c r="D52" s="41" t="s">
        <v>49</v>
      </c>
      <c r="E52" s="41" t="s">
        <v>25</v>
      </c>
      <c r="F52" s="41" t="s">
        <v>25</v>
      </c>
      <c r="G52" s="41" t="s">
        <v>25</v>
      </c>
      <c r="H52" s="41" t="s">
        <v>25</v>
      </c>
      <c r="I52" s="60">
        <v>44621</v>
      </c>
      <c r="J52" s="61">
        <f ca="1">EFEITO!$J$52*EFEITO!$Y$52</f>
        <v>18847.9439628242</v>
      </c>
      <c r="K52" s="61">
        <f>EFEITO!$L$52*EFEITO!$Z$52</f>
        <v>0</v>
      </c>
      <c r="L52" s="61">
        <f>EFEITO!$N$52*EFEITO!$AA$52</f>
        <v>0</v>
      </c>
      <c r="M52" s="61">
        <f ca="1">$J$52-EFEITO!$K$52*EFEITO!$Y$52</f>
        <v>0</v>
      </c>
      <c r="N52" s="61">
        <f>$K$52-EFEITO!$M$52*EFEITO!$Z$52</f>
        <v>0</v>
      </c>
      <c r="O52" s="61">
        <f>$L$52-EFEITO!$O$52*EFEITO!$AA$52</f>
        <v>0</v>
      </c>
      <c r="P52" s="45"/>
      <c r="Q52" s="45"/>
      <c r="R52" s="45"/>
      <c r="S52" s="45"/>
      <c r="T52" s="45"/>
      <c r="U52" s="45"/>
      <c r="V52" s="45"/>
      <c r="W52" s="4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1.25" customHeight="1" x14ac:dyDescent="0.2">
      <c r="A53" s="41" t="s">
        <v>21</v>
      </c>
      <c r="B53" s="41" t="s">
        <v>39</v>
      </c>
      <c r="C53" s="41" t="s">
        <v>40</v>
      </c>
      <c r="D53" s="41" t="s">
        <v>49</v>
      </c>
      <c r="E53" s="41" t="s">
        <v>25</v>
      </c>
      <c r="F53" s="41" t="s">
        <v>25</v>
      </c>
      <c r="G53" s="41" t="s">
        <v>25</v>
      </c>
      <c r="H53" s="41" t="s">
        <v>25</v>
      </c>
      <c r="I53" s="60">
        <v>44652</v>
      </c>
      <c r="J53" s="61">
        <f ca="1">EFEITO!$J$53*EFEITO!$Y$53</f>
        <v>19677.253497188463</v>
      </c>
      <c r="K53" s="61">
        <f>EFEITO!$L$53*EFEITO!$Z$53</f>
        <v>0</v>
      </c>
      <c r="L53" s="61">
        <f>EFEITO!$N$53*EFEITO!$AA$53</f>
        <v>0</v>
      </c>
      <c r="M53" s="61">
        <f ca="1">$J$53-EFEITO!$K$53*EFEITO!$Y$53</f>
        <v>0</v>
      </c>
      <c r="N53" s="61">
        <f>$K$53-EFEITO!$M$53*EFEITO!$Z$53</f>
        <v>0</v>
      </c>
      <c r="O53" s="61">
        <f>$L$53-EFEITO!$O$53*EFEITO!$AA$53</f>
        <v>0</v>
      </c>
      <c r="P53" s="45"/>
      <c r="Q53" s="45"/>
      <c r="R53" s="45"/>
      <c r="S53" s="45"/>
      <c r="T53" s="45"/>
      <c r="U53" s="45"/>
      <c r="V53" s="45"/>
      <c r="W53" s="4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1.25" customHeight="1" x14ac:dyDescent="0.2">
      <c r="A54" s="41" t="s">
        <v>21</v>
      </c>
      <c r="B54" s="41" t="s">
        <v>39</v>
      </c>
      <c r="C54" s="41" t="s">
        <v>40</v>
      </c>
      <c r="D54" s="41" t="s">
        <v>49</v>
      </c>
      <c r="E54" s="41" t="s">
        <v>25</v>
      </c>
      <c r="F54" s="41" t="s">
        <v>25</v>
      </c>
      <c r="G54" s="41" t="s">
        <v>25</v>
      </c>
      <c r="H54" s="41" t="s">
        <v>25</v>
      </c>
      <c r="I54" s="60">
        <v>44682</v>
      </c>
      <c r="J54" s="61">
        <f ca="1">EFEITO!$J$54*EFEITO!$Y$54</f>
        <v>19639.557609262818</v>
      </c>
      <c r="K54" s="61">
        <f>EFEITO!$L$54*EFEITO!$Z$54</f>
        <v>0</v>
      </c>
      <c r="L54" s="61">
        <f>EFEITO!$N$54*EFEITO!$AA$54</f>
        <v>0</v>
      </c>
      <c r="M54" s="61">
        <f ca="1">$J$54-EFEITO!$K$54*EFEITO!$Y$54</f>
        <v>0</v>
      </c>
      <c r="N54" s="61">
        <f>$K$54-EFEITO!$M$54*EFEITO!$Z$54</f>
        <v>0</v>
      </c>
      <c r="O54" s="61">
        <f>$L$54-EFEITO!$O$54*EFEITO!$AA$54</f>
        <v>0</v>
      </c>
      <c r="P54" s="45"/>
      <c r="Q54" s="45"/>
      <c r="R54" s="45"/>
      <c r="S54" s="45"/>
      <c r="T54" s="45"/>
      <c r="U54" s="45"/>
      <c r="V54" s="45"/>
      <c r="W54" s="4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1.25" customHeight="1" x14ac:dyDescent="0.2">
      <c r="A55" s="41" t="s">
        <v>21</v>
      </c>
      <c r="B55" s="41" t="s">
        <v>39</v>
      </c>
      <c r="C55" s="41" t="s">
        <v>40</v>
      </c>
      <c r="D55" s="41" t="s">
        <v>49</v>
      </c>
      <c r="E55" s="41" t="s">
        <v>25</v>
      </c>
      <c r="F55" s="41" t="s">
        <v>25</v>
      </c>
      <c r="G55" s="41" t="s">
        <v>25</v>
      </c>
      <c r="H55" s="41" t="s">
        <v>25</v>
      </c>
      <c r="I55" s="60">
        <v>44713</v>
      </c>
      <c r="J55" s="61">
        <f ca="1">EFEITO!$J$55*EFEITO!$Y$55</f>
        <v>19639.557609262818</v>
      </c>
      <c r="K55" s="61">
        <f>EFEITO!$L$55*EFEITO!$Z$55</f>
        <v>0</v>
      </c>
      <c r="L55" s="61">
        <f>EFEITO!$N$55*EFEITO!$AA$55</f>
        <v>0</v>
      </c>
      <c r="M55" s="61">
        <f ca="1">$J$55-EFEITO!$K$55*EFEITO!$Y$55</f>
        <v>0</v>
      </c>
      <c r="N55" s="61">
        <f>$K$55-EFEITO!$M$55*EFEITO!$Z$55</f>
        <v>0</v>
      </c>
      <c r="O55" s="61">
        <f>$L$55-EFEITO!$O$55*EFEITO!$AA$55</f>
        <v>0</v>
      </c>
      <c r="P55" s="45"/>
      <c r="Q55" s="45"/>
      <c r="R55" s="45"/>
      <c r="S55" s="45"/>
      <c r="T55" s="45"/>
      <c r="U55" s="45"/>
      <c r="V55" s="45"/>
      <c r="W55" s="4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1.25" customHeight="1" x14ac:dyDescent="0.2">
      <c r="A56" s="41" t="s">
        <v>21</v>
      </c>
      <c r="B56" s="41" t="s">
        <v>39</v>
      </c>
      <c r="C56" s="41" t="s">
        <v>40</v>
      </c>
      <c r="D56" s="41" t="s">
        <v>49</v>
      </c>
      <c r="E56" s="41" t="s">
        <v>25</v>
      </c>
      <c r="F56" s="41" t="s">
        <v>25</v>
      </c>
      <c r="G56" s="41" t="s">
        <v>25</v>
      </c>
      <c r="H56" s="41" t="s">
        <v>34</v>
      </c>
      <c r="I56" s="60">
        <v>44470</v>
      </c>
      <c r="J56" s="61">
        <f>EFEITO!$J$56*EFEITO!$Y$56</f>
        <v>0</v>
      </c>
      <c r="K56" s="61">
        <f ca="1">EFEITO!$L$56*EFEITO!$Z$56</f>
        <v>2112.0479918528276</v>
      </c>
      <c r="L56" s="61">
        <f>EFEITO!$N$56*EFEITO!$AA$56</f>
        <v>123.41418624690978</v>
      </c>
      <c r="M56" s="61">
        <f>$J$56-EFEITO!$K$56*EFEITO!$Y$56</f>
        <v>0</v>
      </c>
      <c r="N56" s="61">
        <f ca="1">$K$56-EFEITO!$M$56*EFEITO!$Z$56</f>
        <v>0</v>
      </c>
      <c r="O56" s="61">
        <f>$L$56-EFEITO!$O$56*EFEITO!$AA$56</f>
        <v>0</v>
      </c>
      <c r="P56" s="45"/>
      <c r="Q56" s="45"/>
      <c r="R56" s="45"/>
      <c r="S56" s="45"/>
      <c r="T56" s="45"/>
      <c r="U56" s="45"/>
      <c r="V56" s="45"/>
      <c r="W56" s="4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1.25" customHeight="1" x14ac:dyDescent="0.2">
      <c r="A57" s="41" t="s">
        <v>21</v>
      </c>
      <c r="B57" s="41" t="s">
        <v>39</v>
      </c>
      <c r="C57" s="41" t="s">
        <v>40</v>
      </c>
      <c r="D57" s="41" t="s">
        <v>49</v>
      </c>
      <c r="E57" s="41" t="s">
        <v>25</v>
      </c>
      <c r="F57" s="41" t="s">
        <v>25</v>
      </c>
      <c r="G57" s="41" t="s">
        <v>25</v>
      </c>
      <c r="H57" s="41" t="s">
        <v>34</v>
      </c>
      <c r="I57" s="60">
        <v>44501</v>
      </c>
      <c r="J57" s="61">
        <f>EFEITO!$J$57*EFEITO!$Y$57</f>
        <v>0</v>
      </c>
      <c r="K57" s="61">
        <f ca="1">EFEITO!$L$57*EFEITO!$Z$57</f>
        <v>7061.4132859683214</v>
      </c>
      <c r="L57" s="61">
        <f>EFEITO!$N$57*EFEITO!$AA$57</f>
        <v>412.62252458400775</v>
      </c>
      <c r="M57" s="61">
        <f>$J$57-EFEITO!$K$57*EFEITO!$Y$57</f>
        <v>0</v>
      </c>
      <c r="N57" s="61">
        <f ca="1">$K$57-EFEITO!$M$57*EFEITO!$Z$57</f>
        <v>0</v>
      </c>
      <c r="O57" s="61">
        <f>$L$57-EFEITO!$O$57*EFEITO!$AA$57</f>
        <v>0</v>
      </c>
      <c r="P57" s="45"/>
      <c r="Q57" s="45"/>
      <c r="R57" s="45"/>
      <c r="S57" s="45"/>
      <c r="T57" s="45"/>
      <c r="U57" s="45"/>
      <c r="V57" s="45"/>
      <c r="W57" s="4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1.25" customHeight="1" x14ac:dyDescent="0.2">
      <c r="A58" s="41" t="s">
        <v>21</v>
      </c>
      <c r="B58" s="41" t="s">
        <v>39</v>
      </c>
      <c r="C58" s="41" t="s">
        <v>40</v>
      </c>
      <c r="D58" s="41" t="s">
        <v>49</v>
      </c>
      <c r="E58" s="41" t="s">
        <v>25</v>
      </c>
      <c r="F58" s="41" t="s">
        <v>25</v>
      </c>
      <c r="G58" s="41" t="s">
        <v>25</v>
      </c>
      <c r="H58" s="41" t="s">
        <v>34</v>
      </c>
      <c r="I58" s="60">
        <v>44531</v>
      </c>
      <c r="J58" s="61">
        <f>EFEITO!$J$58*EFEITO!$Y$58</f>
        <v>0</v>
      </c>
      <c r="K58" s="61">
        <f ca="1">EFEITO!$L$58*EFEITO!$Z$58</f>
        <v>8151.3097496886012</v>
      </c>
      <c r="L58" s="61">
        <f>EFEITO!$N$58*EFEITO!$AA$58</f>
        <v>476.30890182651689</v>
      </c>
      <c r="M58" s="61">
        <f>$J$58-EFEITO!$K$58*EFEITO!$Y$58</f>
        <v>0</v>
      </c>
      <c r="N58" s="61">
        <f ca="1">$K$58-EFEITO!$M$58*EFEITO!$Z$58</f>
        <v>0</v>
      </c>
      <c r="O58" s="61">
        <f>$L$58-EFEITO!$O$58*EFEITO!$AA$58</f>
        <v>0</v>
      </c>
      <c r="P58" s="45"/>
      <c r="Q58" s="45"/>
      <c r="R58" s="45"/>
      <c r="S58" s="45"/>
      <c r="T58" s="45"/>
      <c r="U58" s="45"/>
      <c r="V58" s="45"/>
      <c r="W58" s="4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1.25" customHeight="1" x14ac:dyDescent="0.2">
      <c r="A59" s="41" t="s">
        <v>21</v>
      </c>
      <c r="B59" s="41" t="s">
        <v>39</v>
      </c>
      <c r="C59" s="41" t="s">
        <v>40</v>
      </c>
      <c r="D59" s="41" t="s">
        <v>49</v>
      </c>
      <c r="E59" s="41" t="s">
        <v>25</v>
      </c>
      <c r="F59" s="41" t="s">
        <v>25</v>
      </c>
      <c r="G59" s="41" t="s">
        <v>25</v>
      </c>
      <c r="H59" s="41" t="s">
        <v>34</v>
      </c>
      <c r="I59" s="60">
        <v>44562</v>
      </c>
      <c r="J59" s="61">
        <f>EFEITO!$J$59*EFEITO!$Y$59</f>
        <v>0</v>
      </c>
      <c r="K59" s="61">
        <f ca="1">EFEITO!$L$59*EFEITO!$Z$59</f>
        <v>6619.0787065425402</v>
      </c>
      <c r="L59" s="61">
        <f>EFEITO!$N$59*EFEITO!$AA$59</f>
        <v>386.77540255871156</v>
      </c>
      <c r="M59" s="61">
        <f>$J$59-EFEITO!$K$59*EFEITO!$Y$59</f>
        <v>0</v>
      </c>
      <c r="N59" s="61">
        <f ca="1">$K$59-EFEITO!$M$59*EFEITO!$Z$59</f>
        <v>0</v>
      </c>
      <c r="O59" s="61">
        <f>$L$59-EFEITO!$O$59*EFEITO!$AA$59</f>
        <v>0</v>
      </c>
      <c r="P59" s="45"/>
      <c r="Q59" s="45"/>
      <c r="R59" s="45"/>
      <c r="S59" s="45"/>
      <c r="T59" s="45"/>
      <c r="U59" s="45"/>
      <c r="V59" s="45"/>
      <c r="W59" s="4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1.25" customHeight="1" x14ac:dyDescent="0.2">
      <c r="A60" s="41" t="s">
        <v>21</v>
      </c>
      <c r="B60" s="41" t="s">
        <v>39</v>
      </c>
      <c r="C60" s="41" t="s">
        <v>40</v>
      </c>
      <c r="D60" s="41" t="s">
        <v>49</v>
      </c>
      <c r="E60" s="41" t="s">
        <v>25</v>
      </c>
      <c r="F60" s="41" t="s">
        <v>25</v>
      </c>
      <c r="G60" s="41" t="s">
        <v>25</v>
      </c>
      <c r="H60" s="41" t="s">
        <v>34</v>
      </c>
      <c r="I60" s="60">
        <v>44593</v>
      </c>
      <c r="J60" s="61">
        <f>EFEITO!$J$60*EFEITO!$Y$60</f>
        <v>0</v>
      </c>
      <c r="K60" s="61">
        <f ca="1">EFEITO!$L$60*EFEITO!$Z$60</f>
        <v>5455.459812917964</v>
      </c>
      <c r="L60" s="61">
        <f>EFEITO!$N$60*EFEITO!$AA$60</f>
        <v>318.78117164531977</v>
      </c>
      <c r="M60" s="61">
        <f>$J$60-EFEITO!$K$60*EFEITO!$Y$60</f>
        <v>0</v>
      </c>
      <c r="N60" s="61">
        <f ca="1">$K$60-EFEITO!$M$60*EFEITO!$Z$60</f>
        <v>0</v>
      </c>
      <c r="O60" s="61">
        <f>$L$60-EFEITO!$O$60*EFEITO!$AA$60</f>
        <v>0</v>
      </c>
      <c r="P60" s="45"/>
      <c r="Q60" s="45"/>
      <c r="R60" s="45"/>
      <c r="S60" s="45"/>
      <c r="T60" s="45"/>
      <c r="U60" s="45"/>
      <c r="V60" s="45"/>
      <c r="W60" s="4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1.25" customHeight="1" x14ac:dyDescent="0.2">
      <c r="A61" s="41" t="s">
        <v>21</v>
      </c>
      <c r="B61" s="41" t="s">
        <v>39</v>
      </c>
      <c r="C61" s="41" t="s">
        <v>40</v>
      </c>
      <c r="D61" s="41" t="s">
        <v>49</v>
      </c>
      <c r="E61" s="41" t="s">
        <v>25</v>
      </c>
      <c r="F61" s="41" t="s">
        <v>25</v>
      </c>
      <c r="G61" s="41" t="s">
        <v>25</v>
      </c>
      <c r="H61" s="41" t="s">
        <v>34</v>
      </c>
      <c r="I61" s="60">
        <v>44621</v>
      </c>
      <c r="J61" s="61">
        <f>EFEITO!$J$61*EFEITO!$Y$61</f>
        <v>0</v>
      </c>
      <c r="K61" s="61">
        <f ca="1">EFEITO!$L$61*EFEITO!$Z$61</f>
        <v>14447.603763136653</v>
      </c>
      <c r="L61" s="61">
        <f>EFEITO!$N$61*EFEITO!$AA$61</f>
        <v>844.22289101541776</v>
      </c>
      <c r="M61" s="61">
        <f>$J$61-EFEITO!$K$61*EFEITO!$Y$61</f>
        <v>0</v>
      </c>
      <c r="N61" s="61">
        <f ca="1">$K$61-EFEITO!$M$61*EFEITO!$Z$61</f>
        <v>0</v>
      </c>
      <c r="O61" s="61">
        <f>$L$61-EFEITO!$O$61*EFEITO!$AA$61</f>
        <v>0</v>
      </c>
      <c r="P61" s="45"/>
      <c r="Q61" s="45"/>
      <c r="R61" s="45"/>
      <c r="S61" s="45"/>
      <c r="T61" s="45"/>
      <c r="U61" s="45"/>
      <c r="V61" s="45"/>
      <c r="W61" s="4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1.25" customHeight="1" x14ac:dyDescent="0.2">
      <c r="A62" s="41" t="s">
        <v>21</v>
      </c>
      <c r="B62" s="41" t="s">
        <v>39</v>
      </c>
      <c r="C62" s="41" t="s">
        <v>40</v>
      </c>
      <c r="D62" s="41" t="s">
        <v>49</v>
      </c>
      <c r="E62" s="41" t="s">
        <v>25</v>
      </c>
      <c r="F62" s="41" t="s">
        <v>25</v>
      </c>
      <c r="G62" s="41" t="s">
        <v>25</v>
      </c>
      <c r="H62" s="41" t="s">
        <v>34</v>
      </c>
      <c r="I62" s="60">
        <v>44652</v>
      </c>
      <c r="J62" s="61">
        <f>EFEITO!$J$62*EFEITO!$Y$62</f>
        <v>0</v>
      </c>
      <c r="K62" s="61">
        <f ca="1">EFEITO!$L$62*EFEITO!$Z$62</f>
        <v>5503.2797674504809</v>
      </c>
      <c r="L62" s="61">
        <f>EFEITO!$N$62*EFEITO!$AA$62</f>
        <v>321.57545510751396</v>
      </c>
      <c r="M62" s="61">
        <f>$J$62-EFEITO!$K$62*EFEITO!$Y$62</f>
        <v>0</v>
      </c>
      <c r="N62" s="61">
        <f ca="1">$K$62-EFEITO!$M$62*EFEITO!$Z$62</f>
        <v>0</v>
      </c>
      <c r="O62" s="61">
        <f>$L$62-EFEITO!$O$62*EFEITO!$AA$62</f>
        <v>0</v>
      </c>
      <c r="P62" s="45"/>
      <c r="Q62" s="45"/>
      <c r="R62" s="45"/>
      <c r="S62" s="45"/>
      <c r="T62" s="45"/>
      <c r="U62" s="45"/>
      <c r="V62" s="45"/>
      <c r="W62" s="4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1.25" customHeight="1" x14ac:dyDescent="0.2">
      <c r="A63" s="41" t="s">
        <v>21</v>
      </c>
      <c r="B63" s="41" t="s">
        <v>39</v>
      </c>
      <c r="C63" s="41" t="s">
        <v>40</v>
      </c>
      <c r="D63" s="41" t="s">
        <v>49</v>
      </c>
      <c r="E63" s="41" t="s">
        <v>25</v>
      </c>
      <c r="F63" s="41" t="s">
        <v>25</v>
      </c>
      <c r="G63" s="41" t="s">
        <v>25</v>
      </c>
      <c r="H63" s="41" t="s">
        <v>34</v>
      </c>
      <c r="I63" s="60">
        <v>44682</v>
      </c>
      <c r="J63" s="61">
        <f>EFEITO!$J$63*EFEITO!$Y$63</f>
        <v>0</v>
      </c>
      <c r="K63" s="61">
        <f ca="1">EFEITO!$L$63*EFEITO!$Z$63</f>
        <v>2934.9497094332219</v>
      </c>
      <c r="L63" s="61">
        <f>EFEITO!$N$63*EFEITO!$AA$63</f>
        <v>171.49914749216802</v>
      </c>
      <c r="M63" s="61">
        <f>$J$63-EFEITO!$K$63*EFEITO!$Y$63</f>
        <v>0</v>
      </c>
      <c r="N63" s="61">
        <f ca="1">$K$63-EFEITO!$M$63*EFEITO!$Z$63</f>
        <v>0</v>
      </c>
      <c r="O63" s="61">
        <f>$L$63-EFEITO!$O$63*EFEITO!$AA$63</f>
        <v>0</v>
      </c>
      <c r="P63" s="45"/>
      <c r="Q63" s="45"/>
      <c r="R63" s="45"/>
      <c r="S63" s="45"/>
      <c r="T63" s="45"/>
      <c r="U63" s="45"/>
      <c r="V63" s="45"/>
      <c r="W63" s="4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1.25" customHeight="1" x14ac:dyDescent="0.2">
      <c r="A64" s="41" t="s">
        <v>21</v>
      </c>
      <c r="B64" s="41" t="s">
        <v>39</v>
      </c>
      <c r="C64" s="41" t="s">
        <v>40</v>
      </c>
      <c r="D64" s="41" t="s">
        <v>49</v>
      </c>
      <c r="E64" s="41" t="s">
        <v>25</v>
      </c>
      <c r="F64" s="41" t="s">
        <v>25</v>
      </c>
      <c r="G64" s="41" t="s">
        <v>25</v>
      </c>
      <c r="H64" s="41" t="s">
        <v>34</v>
      </c>
      <c r="I64" s="60">
        <v>44713</v>
      </c>
      <c r="J64" s="61">
        <f>EFEITO!$J$64*EFEITO!$Y$64</f>
        <v>0</v>
      </c>
      <c r="K64" s="61">
        <f ca="1">EFEITO!$L$64*EFEITO!$Z$64</f>
        <v>2930.9647132221785</v>
      </c>
      <c r="L64" s="61">
        <f>EFEITO!$N$64*EFEITO!$AA$64</f>
        <v>171.26629053698517</v>
      </c>
      <c r="M64" s="61">
        <f>$J$64-EFEITO!$K$64*EFEITO!$Y$64</f>
        <v>0</v>
      </c>
      <c r="N64" s="61">
        <f ca="1">$K$64-EFEITO!$M$64*EFEITO!$Z$64</f>
        <v>0</v>
      </c>
      <c r="O64" s="61">
        <f>$L$64-EFEITO!$O$64*EFEITO!$AA$64</f>
        <v>0</v>
      </c>
      <c r="P64" s="45"/>
      <c r="Q64" s="45"/>
      <c r="R64" s="45"/>
      <c r="S64" s="45"/>
      <c r="T64" s="45"/>
      <c r="U64" s="45"/>
      <c r="V64" s="45"/>
      <c r="W64" s="4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1.25" customHeight="1" x14ac:dyDescent="0.2">
      <c r="A65" s="41" t="s">
        <v>21</v>
      </c>
      <c r="B65" s="41" t="s">
        <v>22</v>
      </c>
      <c r="C65" s="41" t="s">
        <v>33</v>
      </c>
      <c r="D65" s="41" t="s">
        <v>24</v>
      </c>
      <c r="E65" s="41" t="s">
        <v>24</v>
      </c>
      <c r="F65" s="41" t="s">
        <v>25</v>
      </c>
      <c r="G65" s="41" t="s">
        <v>25</v>
      </c>
      <c r="H65" s="41" t="s">
        <v>35</v>
      </c>
      <c r="I65" s="60">
        <v>44378</v>
      </c>
      <c r="J65" s="61">
        <f>EFEITO!$J$65*EFEITO!$Y$65</f>
        <v>0</v>
      </c>
      <c r="K65" s="61">
        <f ca="1">EFEITO!$L$65*EFEITO!$Z$65</f>
        <v>92.940672505974177</v>
      </c>
      <c r="L65" s="61">
        <f>EFEITO!$N$65*EFEITO!$AA$65</f>
        <v>24.333551816607681</v>
      </c>
      <c r="M65" s="61">
        <f>$J$65-EFEITO!$K$65*EFEITO!$Y$65</f>
        <v>0</v>
      </c>
      <c r="N65" s="61">
        <f ca="1">$K$65-EFEITO!$M$65*EFEITO!$Z$65</f>
        <v>0</v>
      </c>
      <c r="O65" s="61">
        <f>$L$65-EFEITO!$O$65*EFEITO!$AA$65</f>
        <v>0</v>
      </c>
      <c r="P65" s="45"/>
      <c r="Q65" s="45"/>
      <c r="R65" s="45"/>
      <c r="S65" s="45"/>
      <c r="T65" s="45"/>
      <c r="U65" s="45"/>
      <c r="V65" s="45"/>
      <c r="W65" s="4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1.25" customHeight="1" x14ac:dyDescent="0.2">
      <c r="A66" s="41" t="s">
        <v>21</v>
      </c>
      <c r="B66" s="41" t="s">
        <v>22</v>
      </c>
      <c r="C66" s="41" t="s">
        <v>33</v>
      </c>
      <c r="D66" s="41" t="s">
        <v>24</v>
      </c>
      <c r="E66" s="41" t="s">
        <v>24</v>
      </c>
      <c r="F66" s="41" t="s">
        <v>25</v>
      </c>
      <c r="G66" s="41" t="s">
        <v>25</v>
      </c>
      <c r="H66" s="41" t="s">
        <v>35</v>
      </c>
      <c r="I66" s="60">
        <v>44409</v>
      </c>
      <c r="J66" s="61">
        <f>EFEITO!$J$66*EFEITO!$Y$66</f>
        <v>0</v>
      </c>
      <c r="K66" s="61">
        <f ca="1">EFEITO!$L$66*EFEITO!$Z$66</f>
        <v>89.827827015343473</v>
      </c>
      <c r="L66" s="61">
        <f>EFEITO!$N$66*EFEITO!$AA$66</f>
        <v>23.518552473467711</v>
      </c>
      <c r="M66" s="61">
        <f>$J$66-EFEITO!$K$66*EFEITO!$Y$66</f>
        <v>0</v>
      </c>
      <c r="N66" s="61">
        <f ca="1">$K$66-EFEITO!$M$66*EFEITO!$Z$66</f>
        <v>0</v>
      </c>
      <c r="O66" s="61">
        <f>$L$66-EFEITO!$O$66*EFEITO!$AA$66</f>
        <v>0</v>
      </c>
      <c r="P66" s="45"/>
      <c r="Q66" s="45"/>
      <c r="R66" s="45"/>
      <c r="S66" s="45"/>
      <c r="T66" s="45"/>
      <c r="U66" s="45"/>
      <c r="V66" s="45"/>
      <c r="W66" s="4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1.25" customHeight="1" x14ac:dyDescent="0.2">
      <c r="A67" s="41" t="s">
        <v>21</v>
      </c>
      <c r="B67" s="41" t="s">
        <v>22</v>
      </c>
      <c r="C67" s="41" t="s">
        <v>33</v>
      </c>
      <c r="D67" s="41" t="s">
        <v>24</v>
      </c>
      <c r="E67" s="41" t="s">
        <v>24</v>
      </c>
      <c r="F67" s="41" t="s">
        <v>25</v>
      </c>
      <c r="G67" s="41" t="s">
        <v>25</v>
      </c>
      <c r="H67" s="41" t="s">
        <v>35</v>
      </c>
      <c r="I67" s="60">
        <v>44440</v>
      </c>
      <c r="J67" s="61">
        <f>EFEITO!$J$67*EFEITO!$Y$67</f>
        <v>0</v>
      </c>
      <c r="K67" s="61">
        <f ca="1">EFEITO!$L$67*EFEITO!$Z$67</f>
        <v>106.28143889439153</v>
      </c>
      <c r="L67" s="61">
        <f>EFEITO!$N$67*EFEITO!$AA$67</f>
        <v>27.826406144350408</v>
      </c>
      <c r="M67" s="61">
        <f>$J$67-EFEITO!$K$67*EFEITO!$Y$67</f>
        <v>0</v>
      </c>
      <c r="N67" s="61">
        <f ca="1">$K$67-EFEITO!$M$67*EFEITO!$Z$67</f>
        <v>0</v>
      </c>
      <c r="O67" s="61">
        <f>$L$67-EFEITO!$O$67*EFEITO!$AA$67</f>
        <v>0</v>
      </c>
      <c r="P67" s="45"/>
      <c r="Q67" s="45"/>
      <c r="R67" s="45"/>
      <c r="S67" s="45"/>
      <c r="T67" s="45"/>
      <c r="U67" s="45"/>
      <c r="V67" s="45"/>
      <c r="W67" s="4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1.25" customHeight="1" x14ac:dyDescent="0.2">
      <c r="A68" s="41" t="s">
        <v>21</v>
      </c>
      <c r="B68" s="41" t="s">
        <v>22</v>
      </c>
      <c r="C68" s="41" t="s">
        <v>33</v>
      </c>
      <c r="D68" s="41" t="s">
        <v>24</v>
      </c>
      <c r="E68" s="41" t="s">
        <v>24</v>
      </c>
      <c r="F68" s="41" t="s">
        <v>25</v>
      </c>
      <c r="G68" s="41" t="s">
        <v>25</v>
      </c>
      <c r="H68" s="41" t="s">
        <v>35</v>
      </c>
      <c r="I68" s="60">
        <v>44470</v>
      </c>
      <c r="J68" s="61">
        <f>EFEITO!$J$68*EFEITO!$Y$68</f>
        <v>0</v>
      </c>
      <c r="K68" s="61">
        <f ca="1">EFEITO!$L$68*EFEITO!$Z$68</f>
        <v>109.83897659796949</v>
      </c>
      <c r="L68" s="61">
        <f>EFEITO!$N$68*EFEITO!$AA$68</f>
        <v>28.757833965081804</v>
      </c>
      <c r="M68" s="61">
        <f>$J$68-EFEITO!$K$68*EFEITO!$Y$68</f>
        <v>0</v>
      </c>
      <c r="N68" s="61">
        <f ca="1">$K$68-EFEITO!$M$68*EFEITO!$Z$68</f>
        <v>0</v>
      </c>
      <c r="O68" s="61">
        <f>$L$68-EFEITO!$O$68*EFEITO!$AA$68</f>
        <v>0</v>
      </c>
      <c r="P68" s="45"/>
      <c r="Q68" s="45"/>
      <c r="R68" s="45"/>
      <c r="S68" s="45"/>
      <c r="T68" s="45"/>
      <c r="U68" s="45"/>
      <c r="V68" s="45"/>
      <c r="W68" s="4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1.25" customHeight="1" x14ac:dyDescent="0.2">
      <c r="A69" s="41" t="s">
        <v>21</v>
      </c>
      <c r="B69" s="41" t="s">
        <v>22</v>
      </c>
      <c r="C69" s="41" t="s">
        <v>33</v>
      </c>
      <c r="D69" s="41" t="s">
        <v>24</v>
      </c>
      <c r="E69" s="41" t="s">
        <v>24</v>
      </c>
      <c r="F69" s="41" t="s">
        <v>25</v>
      </c>
      <c r="G69" s="41" t="s">
        <v>25</v>
      </c>
      <c r="H69" s="41" t="s">
        <v>35</v>
      </c>
      <c r="I69" s="60">
        <v>44501</v>
      </c>
      <c r="J69" s="61">
        <f>EFEITO!$J$69*EFEITO!$Y$69</f>
        <v>0</v>
      </c>
      <c r="K69" s="61">
        <f ca="1">EFEITO!$L$69*EFEITO!$Z$69</f>
        <v>124.95851183817584</v>
      </c>
      <c r="L69" s="61">
        <f>EFEITO!$N$69*EFEITO!$AA$69</f>
        <v>32.716402203190235</v>
      </c>
      <c r="M69" s="61">
        <f>$J$69-EFEITO!$K$69*EFEITO!$Y$69</f>
        <v>0</v>
      </c>
      <c r="N69" s="61">
        <f ca="1">$K$69-EFEITO!$M$69*EFEITO!$Z$69</f>
        <v>0</v>
      </c>
      <c r="O69" s="61">
        <f>$L$69-EFEITO!$O$69*EFEITO!$AA$69</f>
        <v>0</v>
      </c>
      <c r="P69" s="45"/>
      <c r="Q69" s="45"/>
      <c r="R69" s="45"/>
      <c r="S69" s="45"/>
      <c r="T69" s="45"/>
      <c r="U69" s="45"/>
      <c r="V69" s="45"/>
      <c r="W69" s="4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1.25" customHeight="1" x14ac:dyDescent="0.2">
      <c r="A70" s="41" t="s">
        <v>21</v>
      </c>
      <c r="B70" s="41" t="s">
        <v>22</v>
      </c>
      <c r="C70" s="41" t="s">
        <v>33</v>
      </c>
      <c r="D70" s="41" t="s">
        <v>24</v>
      </c>
      <c r="E70" s="41" t="s">
        <v>24</v>
      </c>
      <c r="F70" s="41" t="s">
        <v>25</v>
      </c>
      <c r="G70" s="41" t="s">
        <v>25</v>
      </c>
      <c r="H70" s="41" t="s">
        <v>35</v>
      </c>
      <c r="I70" s="60">
        <v>44531</v>
      </c>
      <c r="J70" s="61">
        <f>EFEITO!$J$70*EFEITO!$Y$70</f>
        <v>0</v>
      </c>
      <c r="K70" s="61">
        <f ca="1">EFEITO!$L$70*EFEITO!$Z$70</f>
        <v>126.73728068996479</v>
      </c>
      <c r="L70" s="61">
        <f>EFEITO!$N$70*EFEITO!$AA$70</f>
        <v>33.182116113555928</v>
      </c>
      <c r="M70" s="61">
        <f>$J$70-EFEITO!$K$70*EFEITO!$Y$70</f>
        <v>0</v>
      </c>
      <c r="N70" s="61">
        <f ca="1">$K$70-EFEITO!$M$70*EFEITO!$Z$70</f>
        <v>0</v>
      </c>
      <c r="O70" s="61">
        <f>$L$70-EFEITO!$O$70*EFEITO!$AA$70</f>
        <v>0</v>
      </c>
      <c r="P70" s="45"/>
      <c r="Q70" s="45"/>
      <c r="R70" s="45"/>
      <c r="S70" s="45"/>
      <c r="T70" s="45"/>
      <c r="U70" s="45"/>
      <c r="V70" s="45"/>
      <c r="W70" s="4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1.25" customHeight="1" x14ac:dyDescent="0.2">
      <c r="A71" s="41" t="s">
        <v>21</v>
      </c>
      <c r="B71" s="41" t="s">
        <v>22</v>
      </c>
      <c r="C71" s="41" t="s">
        <v>33</v>
      </c>
      <c r="D71" s="41" t="s">
        <v>24</v>
      </c>
      <c r="E71" s="41" t="s">
        <v>24</v>
      </c>
      <c r="F71" s="41" t="s">
        <v>25</v>
      </c>
      <c r="G71" s="41" t="s">
        <v>25</v>
      </c>
      <c r="H71" s="41" t="s">
        <v>35</v>
      </c>
      <c r="I71" s="60">
        <v>44562</v>
      </c>
      <c r="J71" s="61">
        <f>EFEITO!$J$71*EFEITO!$Y$71</f>
        <v>0</v>
      </c>
      <c r="K71" s="61">
        <f ca="1">EFEITO!$L$71*EFEITO!$Z$71</f>
        <v>117.39874421807266</v>
      </c>
      <c r="L71" s="61">
        <f>EFEITO!$N$71*EFEITO!$AA$71</f>
        <v>30.737118084136018</v>
      </c>
      <c r="M71" s="61">
        <f>$J$71-EFEITO!$K$71*EFEITO!$Y$71</f>
        <v>0</v>
      </c>
      <c r="N71" s="61">
        <f ca="1">$K$71-EFEITO!$M$71*EFEITO!$Z$71</f>
        <v>0</v>
      </c>
      <c r="O71" s="61">
        <f>$L$71-EFEITO!$O$71*EFEITO!$AA$71</f>
        <v>0</v>
      </c>
      <c r="P71" s="45"/>
      <c r="Q71" s="45"/>
      <c r="R71" s="45"/>
      <c r="S71" s="45"/>
      <c r="T71" s="45"/>
      <c r="U71" s="45"/>
      <c r="V71" s="45"/>
      <c r="W71" s="4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1.25" customHeight="1" x14ac:dyDescent="0.2">
      <c r="A72" s="41" t="s">
        <v>21</v>
      </c>
      <c r="B72" s="41" t="s">
        <v>22</v>
      </c>
      <c r="C72" s="41" t="s">
        <v>33</v>
      </c>
      <c r="D72" s="41" t="s">
        <v>24</v>
      </c>
      <c r="E72" s="41" t="s">
        <v>24</v>
      </c>
      <c r="F72" s="41" t="s">
        <v>25</v>
      </c>
      <c r="G72" s="41" t="s">
        <v>25</v>
      </c>
      <c r="H72" s="41" t="s">
        <v>35</v>
      </c>
      <c r="I72" s="60">
        <v>44593</v>
      </c>
      <c r="J72" s="61">
        <f>EFEITO!$J$72*EFEITO!$Y$72</f>
        <v>0</v>
      </c>
      <c r="K72" s="61">
        <f ca="1">EFEITO!$L$72*EFEITO!$Z$72</f>
        <v>121.84566634754512</v>
      </c>
      <c r="L72" s="61">
        <f>EFEITO!$N$72*EFEITO!$AA$72</f>
        <v>31.901402860050265</v>
      </c>
      <c r="M72" s="61">
        <f>$J$72-EFEITO!$K$72*EFEITO!$Y$72</f>
        <v>0</v>
      </c>
      <c r="N72" s="61">
        <f ca="1">$K$72-EFEITO!$M$72*EFEITO!$Z$72</f>
        <v>0</v>
      </c>
      <c r="O72" s="61">
        <f>$L$72-EFEITO!$O$72*EFEITO!$AA$72</f>
        <v>0</v>
      </c>
      <c r="P72" s="45"/>
      <c r="Q72" s="45"/>
      <c r="R72" s="45"/>
      <c r="S72" s="45"/>
      <c r="T72" s="45"/>
      <c r="U72" s="45"/>
      <c r="V72" s="45"/>
      <c r="W72" s="4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1.25" customHeight="1" x14ac:dyDescent="0.2">
      <c r="A73" s="41" t="s">
        <v>21</v>
      </c>
      <c r="B73" s="41" t="s">
        <v>22</v>
      </c>
      <c r="C73" s="41" t="s">
        <v>33</v>
      </c>
      <c r="D73" s="41" t="s">
        <v>24</v>
      </c>
      <c r="E73" s="41" t="s">
        <v>24</v>
      </c>
      <c r="F73" s="41" t="s">
        <v>25</v>
      </c>
      <c r="G73" s="41" t="s">
        <v>25</v>
      </c>
      <c r="H73" s="41" t="s">
        <v>35</v>
      </c>
      <c r="I73" s="60">
        <v>44621</v>
      </c>
      <c r="J73" s="61">
        <f>EFEITO!$J$73*EFEITO!$Y$73</f>
        <v>0</v>
      </c>
      <c r="K73" s="61">
        <f ca="1">EFEITO!$L$73*EFEITO!$Z$73</f>
        <v>93.385364718921423</v>
      </c>
      <c r="L73" s="61">
        <f>EFEITO!$N$73*EFEITO!$AA$73</f>
        <v>24.449980294199104</v>
      </c>
      <c r="M73" s="61">
        <f>$J$73-EFEITO!$K$73*EFEITO!$Y$73</f>
        <v>0</v>
      </c>
      <c r="N73" s="61">
        <f ca="1">$K$73-EFEITO!$M$73*EFEITO!$Z$73</f>
        <v>0</v>
      </c>
      <c r="O73" s="61">
        <f>$L$73-EFEITO!$O$73*EFEITO!$AA$73</f>
        <v>0</v>
      </c>
      <c r="P73" s="45"/>
      <c r="Q73" s="45"/>
      <c r="R73" s="45"/>
      <c r="S73" s="45"/>
      <c r="T73" s="45"/>
      <c r="U73" s="45"/>
      <c r="V73" s="45"/>
      <c r="W73" s="4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1.25" customHeight="1" x14ac:dyDescent="0.2">
      <c r="A74" s="41" t="s">
        <v>21</v>
      </c>
      <c r="B74" s="41" t="s">
        <v>22</v>
      </c>
      <c r="C74" s="41" t="s">
        <v>33</v>
      </c>
      <c r="D74" s="41" t="s">
        <v>24</v>
      </c>
      <c r="E74" s="41" t="s">
        <v>24</v>
      </c>
      <c r="F74" s="41" t="s">
        <v>25</v>
      </c>
      <c r="G74" s="41" t="s">
        <v>25</v>
      </c>
      <c r="H74" s="41" t="s">
        <v>36</v>
      </c>
      <c r="I74" s="60">
        <v>44378</v>
      </c>
      <c r="J74" s="61">
        <f>EFEITO!$J$74*EFEITO!$Y$74</f>
        <v>0</v>
      </c>
      <c r="K74" s="61">
        <f ca="1">EFEITO!$L$74*EFEITO!$Z$74</f>
        <v>16.005840481257657</v>
      </c>
      <c r="L74" s="61">
        <f>EFEITO!$N$74*EFEITO!$AA$74</f>
        <v>1.7464271638713647</v>
      </c>
      <c r="M74" s="61">
        <f>$J$74-EFEITO!$K$74*EFEITO!$Y$74</f>
        <v>0</v>
      </c>
      <c r="N74" s="61">
        <f ca="1">$K$74-EFEITO!$M$74*EFEITO!$Z$74</f>
        <v>0</v>
      </c>
      <c r="O74" s="61">
        <f>$L$74-EFEITO!$O$74*EFEITO!$AA$74</f>
        <v>0</v>
      </c>
      <c r="P74" s="45"/>
      <c r="Q74" s="45"/>
      <c r="R74" s="45"/>
      <c r="S74" s="45"/>
      <c r="T74" s="45"/>
      <c r="U74" s="45"/>
      <c r="V74" s="45"/>
      <c r="W74" s="4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1.25" customHeight="1" x14ac:dyDescent="0.2">
      <c r="A75" s="41" t="s">
        <v>21</v>
      </c>
      <c r="B75" s="41" t="s">
        <v>22</v>
      </c>
      <c r="C75" s="41" t="s">
        <v>33</v>
      </c>
      <c r="D75" s="41" t="s">
        <v>24</v>
      </c>
      <c r="E75" s="41" t="s">
        <v>24</v>
      </c>
      <c r="F75" s="41" t="s">
        <v>25</v>
      </c>
      <c r="G75" s="41" t="s">
        <v>25</v>
      </c>
      <c r="H75" s="41" t="s">
        <v>36</v>
      </c>
      <c r="I75" s="60">
        <v>44409</v>
      </c>
      <c r="J75" s="61">
        <f>EFEITO!$J$75*EFEITO!$Y$75</f>
        <v>0</v>
      </c>
      <c r="K75" s="61">
        <f ca="1">EFEITO!$L$75*EFEITO!$Z$75</f>
        <v>17.072896513341501</v>
      </c>
      <c r="L75" s="61">
        <f>EFEITO!$N$75*EFEITO!$AA$75</f>
        <v>1.862855641462789</v>
      </c>
      <c r="M75" s="61">
        <f>$J$75-EFEITO!$K$75*EFEITO!$Y$75</f>
        <v>0</v>
      </c>
      <c r="N75" s="61">
        <f ca="1">$K$75-EFEITO!$M$75*EFEITO!$Z$75</f>
        <v>0</v>
      </c>
      <c r="O75" s="61">
        <f>$L$75-EFEITO!$O$75*EFEITO!$AA$75</f>
        <v>0</v>
      </c>
      <c r="P75" s="45"/>
      <c r="Q75" s="45"/>
      <c r="R75" s="45"/>
      <c r="S75" s="45"/>
      <c r="T75" s="45"/>
      <c r="U75" s="45"/>
      <c r="V75" s="45"/>
      <c r="W75" s="4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1.25" customHeight="1" x14ac:dyDescent="0.2">
      <c r="A76" s="41" t="s">
        <v>21</v>
      </c>
      <c r="B76" s="41" t="s">
        <v>22</v>
      </c>
      <c r="C76" s="41" t="s">
        <v>33</v>
      </c>
      <c r="D76" s="41" t="s">
        <v>24</v>
      </c>
      <c r="E76" s="41" t="s">
        <v>24</v>
      </c>
      <c r="F76" s="41" t="s">
        <v>25</v>
      </c>
      <c r="G76" s="41" t="s">
        <v>25</v>
      </c>
      <c r="H76" s="41" t="s">
        <v>36</v>
      </c>
      <c r="I76" s="60">
        <v>44440</v>
      </c>
      <c r="J76" s="61">
        <f>EFEITO!$J$76*EFEITO!$Y$76</f>
        <v>0</v>
      </c>
      <c r="K76" s="61">
        <f ca="1">EFEITO!$L$76*EFEITO!$Z$76</f>
        <v>17.072896513341501</v>
      </c>
      <c r="L76" s="61">
        <f>EFEITO!$N$76*EFEITO!$AA$76</f>
        <v>1.862855641462789</v>
      </c>
      <c r="M76" s="61">
        <f>$J$76-EFEITO!$K$76*EFEITO!$Y$76</f>
        <v>0</v>
      </c>
      <c r="N76" s="61">
        <f ca="1">$K$76-EFEITO!$M$76*EFEITO!$Z$76</f>
        <v>0</v>
      </c>
      <c r="O76" s="61">
        <f>$L$76-EFEITO!$O$76*EFEITO!$AA$76</f>
        <v>0</v>
      </c>
      <c r="P76" s="45"/>
      <c r="Q76" s="45"/>
      <c r="R76" s="45"/>
      <c r="S76" s="45"/>
      <c r="T76" s="45"/>
      <c r="U76" s="45"/>
      <c r="V76" s="45"/>
      <c r="W76" s="4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1.25" customHeight="1" x14ac:dyDescent="0.2">
      <c r="A77" s="41" t="s">
        <v>21</v>
      </c>
      <c r="B77" s="41" t="s">
        <v>22</v>
      </c>
      <c r="C77" s="41" t="s">
        <v>33</v>
      </c>
      <c r="D77" s="41" t="s">
        <v>24</v>
      </c>
      <c r="E77" s="41" t="s">
        <v>24</v>
      </c>
      <c r="F77" s="41" t="s">
        <v>25</v>
      </c>
      <c r="G77" s="41" t="s">
        <v>25</v>
      </c>
      <c r="H77" s="41" t="s">
        <v>36</v>
      </c>
      <c r="I77" s="60">
        <v>44470</v>
      </c>
      <c r="J77" s="61">
        <f>EFEITO!$J$77*EFEITO!$Y$77</f>
        <v>0</v>
      </c>
      <c r="K77" s="61">
        <f ca="1">EFEITO!$L$77*EFEITO!$Z$77</f>
        <v>19.207008577509185</v>
      </c>
      <c r="L77" s="61">
        <f>EFEITO!$N$77*EFEITO!$AA$77</f>
        <v>2.0957125966456376</v>
      </c>
      <c r="M77" s="61">
        <f>$J$77-EFEITO!$K$77*EFEITO!$Y$77</f>
        <v>0</v>
      </c>
      <c r="N77" s="61">
        <f ca="1">$K$77-EFEITO!$M$77*EFEITO!$Z$77</f>
        <v>0</v>
      </c>
      <c r="O77" s="61">
        <f>$L$77-EFEITO!$O$77*EFEITO!$AA$77</f>
        <v>0</v>
      </c>
      <c r="P77" s="45"/>
      <c r="Q77" s="45"/>
      <c r="R77" s="45"/>
      <c r="S77" s="45"/>
      <c r="T77" s="45"/>
      <c r="U77" s="45"/>
      <c r="V77" s="45"/>
      <c r="W77" s="4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1.25" customHeight="1" x14ac:dyDescent="0.2">
      <c r="A78" s="41" t="s">
        <v>21</v>
      </c>
      <c r="B78" s="41" t="s">
        <v>22</v>
      </c>
      <c r="C78" s="41" t="s">
        <v>33</v>
      </c>
      <c r="D78" s="41" t="s">
        <v>24</v>
      </c>
      <c r="E78" s="41" t="s">
        <v>24</v>
      </c>
      <c r="F78" s="41" t="s">
        <v>25</v>
      </c>
      <c r="G78" s="41" t="s">
        <v>25</v>
      </c>
      <c r="H78" s="41" t="s">
        <v>36</v>
      </c>
      <c r="I78" s="60">
        <v>44501</v>
      </c>
      <c r="J78" s="61">
        <f>EFEITO!$J$78*EFEITO!$Y$78</f>
        <v>0</v>
      </c>
      <c r="K78" s="61">
        <f ca="1">EFEITO!$L$78*EFEITO!$Z$78</f>
        <v>17.072896513341501</v>
      </c>
      <c r="L78" s="61">
        <f>EFEITO!$N$78*EFEITO!$AA$78</f>
        <v>1.862855641462789</v>
      </c>
      <c r="M78" s="61">
        <f>$J$78-EFEITO!$K$78*EFEITO!$Y$78</f>
        <v>0</v>
      </c>
      <c r="N78" s="61">
        <f ca="1">$K$78-EFEITO!$M$78*EFEITO!$Z$78</f>
        <v>0</v>
      </c>
      <c r="O78" s="61">
        <f>$L$78-EFEITO!$O$78*EFEITO!$AA$78</f>
        <v>0</v>
      </c>
      <c r="P78" s="45"/>
      <c r="Q78" s="45"/>
      <c r="R78" s="45"/>
      <c r="S78" s="45"/>
      <c r="T78" s="45"/>
      <c r="U78" s="45"/>
      <c r="V78" s="45"/>
      <c r="W78" s="4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1.25" customHeight="1" x14ac:dyDescent="0.2">
      <c r="A79" s="41" t="s">
        <v>28</v>
      </c>
      <c r="B79" s="41" t="s">
        <v>22</v>
      </c>
      <c r="C79" s="41" t="s">
        <v>33</v>
      </c>
      <c r="D79" s="41" t="s">
        <v>24</v>
      </c>
      <c r="E79" s="41" t="s">
        <v>24</v>
      </c>
      <c r="F79" s="41" t="s">
        <v>25</v>
      </c>
      <c r="G79" s="41" t="s">
        <v>25</v>
      </c>
      <c r="H79" s="41" t="s">
        <v>36</v>
      </c>
      <c r="I79" s="60">
        <v>44501</v>
      </c>
      <c r="J79" s="61">
        <f>EFEITO!$J$79*EFEITO!$Y$79</f>
        <v>0</v>
      </c>
      <c r="K79" s="61">
        <f ca="1">EFEITO!$L$79*EFEITO!$Z$79</f>
        <v>89.632706695042884</v>
      </c>
      <c r="L79" s="61">
        <f>EFEITO!$N$79*EFEITO!$AA$79</f>
        <v>9.779992117679642</v>
      </c>
      <c r="M79" s="61">
        <f>$J$79-EFEITO!$K$79*EFEITO!$Y$79</f>
        <v>0</v>
      </c>
      <c r="N79" s="61">
        <f ca="1">$K$79-EFEITO!$M$79*EFEITO!$Z$79</f>
        <v>0</v>
      </c>
      <c r="O79" s="61">
        <f>$L$79-EFEITO!$O$79*EFEITO!$AA$79</f>
        <v>0</v>
      </c>
      <c r="P79" s="45"/>
      <c r="Q79" s="45"/>
      <c r="R79" s="45"/>
      <c r="S79" s="45"/>
      <c r="T79" s="45"/>
      <c r="U79" s="45"/>
      <c r="V79" s="45"/>
      <c r="W79" s="4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1.25" customHeight="1" x14ac:dyDescent="0.2">
      <c r="A80" s="41" t="s">
        <v>21</v>
      </c>
      <c r="B80" s="41" t="s">
        <v>22</v>
      </c>
      <c r="C80" s="41" t="s">
        <v>33</v>
      </c>
      <c r="D80" s="41" t="s">
        <v>24</v>
      </c>
      <c r="E80" s="41" t="s">
        <v>24</v>
      </c>
      <c r="F80" s="41" t="s">
        <v>25</v>
      </c>
      <c r="G80" s="41" t="s">
        <v>25</v>
      </c>
      <c r="H80" s="41" t="s">
        <v>36</v>
      </c>
      <c r="I80" s="60">
        <v>44531</v>
      </c>
      <c r="J80" s="61">
        <f>EFEITO!$J$80*EFEITO!$Y$80</f>
        <v>0</v>
      </c>
      <c r="K80" s="61">
        <f ca="1">EFEITO!$L$80*EFEITO!$Z$80</f>
        <v>19.207008577509185</v>
      </c>
      <c r="L80" s="61">
        <f>EFEITO!$N$80*EFEITO!$AA$80</f>
        <v>2.0957125966456376</v>
      </c>
      <c r="M80" s="61">
        <f>$J$80-EFEITO!$K$80*EFEITO!$Y$80</f>
        <v>0</v>
      </c>
      <c r="N80" s="61">
        <f ca="1">$K$80-EFEITO!$M$80*EFEITO!$Z$80</f>
        <v>0</v>
      </c>
      <c r="O80" s="61">
        <f>$L$80-EFEITO!$O$80*EFEITO!$AA$80</f>
        <v>0</v>
      </c>
      <c r="P80" s="45"/>
      <c r="Q80" s="45"/>
      <c r="R80" s="45"/>
      <c r="S80" s="45"/>
      <c r="T80" s="45"/>
      <c r="U80" s="45"/>
      <c r="V80" s="45"/>
      <c r="W80" s="4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1.25" customHeight="1" x14ac:dyDescent="0.2">
      <c r="A81" s="41" t="s">
        <v>28</v>
      </c>
      <c r="B81" s="41" t="s">
        <v>22</v>
      </c>
      <c r="C81" s="41" t="s">
        <v>33</v>
      </c>
      <c r="D81" s="41" t="s">
        <v>24</v>
      </c>
      <c r="E81" s="41" t="s">
        <v>24</v>
      </c>
      <c r="F81" s="41" t="s">
        <v>25</v>
      </c>
      <c r="G81" s="41" t="s">
        <v>25</v>
      </c>
      <c r="H81" s="41" t="s">
        <v>36</v>
      </c>
      <c r="I81" s="60">
        <v>44531</v>
      </c>
      <c r="J81" s="61">
        <f>EFEITO!$J$81*EFEITO!$Y$81</f>
        <v>0</v>
      </c>
      <c r="K81" s="61">
        <f ca="1">EFEITO!$L$81*EFEITO!$Z$81</f>
        <v>60.822193828779099</v>
      </c>
      <c r="L81" s="61">
        <f>EFEITO!$N$81*EFEITO!$AA$81</f>
        <v>6.6364232227111861</v>
      </c>
      <c r="M81" s="61">
        <f>$J$81-EFEITO!$K$81*EFEITO!$Y$81</f>
        <v>0</v>
      </c>
      <c r="N81" s="61">
        <f ca="1">$K$81-EFEITO!$M$81*EFEITO!$Z$81</f>
        <v>0</v>
      </c>
      <c r="O81" s="61">
        <f>$L$81-EFEITO!$O$81*EFEITO!$AA$81</f>
        <v>0</v>
      </c>
      <c r="P81" s="45"/>
      <c r="Q81" s="45"/>
      <c r="R81" s="45"/>
      <c r="S81" s="45"/>
      <c r="T81" s="45"/>
      <c r="U81" s="45"/>
      <c r="V81" s="45"/>
      <c r="W81" s="4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1.25" customHeight="1" x14ac:dyDescent="0.2">
      <c r="A82" s="41" t="s">
        <v>21</v>
      </c>
      <c r="B82" s="41" t="s">
        <v>22</v>
      </c>
      <c r="C82" s="41" t="s">
        <v>33</v>
      </c>
      <c r="D82" s="41" t="s">
        <v>24</v>
      </c>
      <c r="E82" s="41" t="s">
        <v>24</v>
      </c>
      <c r="F82" s="41" t="s">
        <v>25</v>
      </c>
      <c r="G82" s="41" t="s">
        <v>25</v>
      </c>
      <c r="H82" s="41" t="s">
        <v>36</v>
      </c>
      <c r="I82" s="60">
        <v>44562</v>
      </c>
      <c r="J82" s="61">
        <f>EFEITO!$J$82*EFEITO!$Y$82</f>
        <v>0</v>
      </c>
      <c r="K82" s="61">
        <f ca="1">EFEITO!$L$82*EFEITO!$Z$82</f>
        <v>21.341120641676877</v>
      </c>
      <c r="L82" s="61">
        <f>EFEITO!$N$82*EFEITO!$AA$82</f>
        <v>2.3285695518284864</v>
      </c>
      <c r="M82" s="61">
        <f>$J$82-EFEITO!$K$82*EFEITO!$Y$82</f>
        <v>0</v>
      </c>
      <c r="N82" s="61">
        <f ca="1">$K$82-EFEITO!$M$82*EFEITO!$Z$82</f>
        <v>0</v>
      </c>
      <c r="O82" s="61">
        <f>$L$82-EFEITO!$O$82*EFEITO!$AA$82</f>
        <v>0</v>
      </c>
      <c r="P82" s="45"/>
      <c r="Q82" s="45"/>
      <c r="R82" s="45"/>
      <c r="S82" s="45"/>
      <c r="T82" s="45"/>
      <c r="U82" s="45"/>
      <c r="V82" s="45"/>
      <c r="W82" s="4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1.25" customHeight="1" x14ac:dyDescent="0.2">
      <c r="A83" s="41" t="s">
        <v>21</v>
      </c>
      <c r="B83" s="41" t="s">
        <v>22</v>
      </c>
      <c r="C83" s="41" t="s">
        <v>33</v>
      </c>
      <c r="D83" s="41" t="s">
        <v>24</v>
      </c>
      <c r="E83" s="41" t="s">
        <v>24</v>
      </c>
      <c r="F83" s="41" t="s">
        <v>25</v>
      </c>
      <c r="G83" s="41" t="s">
        <v>25</v>
      </c>
      <c r="H83" s="41" t="s">
        <v>36</v>
      </c>
      <c r="I83" s="60">
        <v>44593</v>
      </c>
      <c r="J83" s="61">
        <f>EFEITO!$J$83*EFEITO!$Y$83</f>
        <v>0</v>
      </c>
      <c r="K83" s="61">
        <f ca="1">EFEITO!$L$83*EFEITO!$Z$83</f>
        <v>21.341120641676877</v>
      </c>
      <c r="L83" s="61">
        <f>EFEITO!$N$83*EFEITO!$AA$83</f>
        <v>2.3285695518284864</v>
      </c>
      <c r="M83" s="61">
        <f>$J$83-EFEITO!$K$83*EFEITO!$Y$83</f>
        <v>0</v>
      </c>
      <c r="N83" s="61">
        <f ca="1">$K$83-EFEITO!$M$83*EFEITO!$Z$83</f>
        <v>0</v>
      </c>
      <c r="O83" s="61">
        <f>$L$83-EFEITO!$O$83*EFEITO!$AA$83</f>
        <v>0</v>
      </c>
      <c r="P83" s="45"/>
      <c r="Q83" s="45"/>
      <c r="R83" s="45"/>
      <c r="S83" s="45"/>
      <c r="T83" s="45"/>
      <c r="U83" s="45"/>
      <c r="V83" s="45"/>
      <c r="W83" s="4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1.25" customHeight="1" x14ac:dyDescent="0.2">
      <c r="A84" s="41" t="s">
        <v>21</v>
      </c>
      <c r="B84" s="41" t="s">
        <v>22</v>
      </c>
      <c r="C84" s="41" t="s">
        <v>33</v>
      </c>
      <c r="D84" s="41" t="s">
        <v>24</v>
      </c>
      <c r="E84" s="41" t="s">
        <v>24</v>
      </c>
      <c r="F84" s="41" t="s">
        <v>25</v>
      </c>
      <c r="G84" s="41" t="s">
        <v>25</v>
      </c>
      <c r="H84" s="41" t="s">
        <v>36</v>
      </c>
      <c r="I84" s="60">
        <v>44621</v>
      </c>
      <c r="J84" s="61">
        <f>EFEITO!$J$84*EFEITO!$Y$84</f>
        <v>0</v>
      </c>
      <c r="K84" s="61">
        <f ca="1">EFEITO!$L$84*EFEITO!$Z$84</f>
        <v>16.005840481257657</v>
      </c>
      <c r="L84" s="61">
        <f>EFEITO!$N$84*EFEITO!$AA$84</f>
        <v>1.7464271638713647</v>
      </c>
      <c r="M84" s="61">
        <f>$J$84-EFEITO!$K$84*EFEITO!$Y$84</f>
        <v>0</v>
      </c>
      <c r="N84" s="61">
        <f ca="1">$K$84-EFEITO!$M$84*EFEITO!$Z$84</f>
        <v>0</v>
      </c>
      <c r="O84" s="61">
        <f>$L$84-EFEITO!$O$84*EFEITO!$AA$84</f>
        <v>0</v>
      </c>
      <c r="P84" s="45"/>
      <c r="Q84" s="45"/>
      <c r="R84" s="45"/>
      <c r="S84" s="45"/>
      <c r="T84" s="45"/>
      <c r="U84" s="45"/>
      <c r="V84" s="45"/>
      <c r="W84" s="4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1.25" customHeight="1" x14ac:dyDescent="0.2">
      <c r="A85" s="41" t="s">
        <v>21</v>
      </c>
      <c r="B85" s="41" t="s">
        <v>22</v>
      </c>
      <c r="C85" s="41" t="s">
        <v>33</v>
      </c>
      <c r="D85" s="41" t="s">
        <v>24</v>
      </c>
      <c r="E85" s="41" t="s">
        <v>24</v>
      </c>
      <c r="F85" s="41" t="s">
        <v>25</v>
      </c>
      <c r="G85" s="41" t="s">
        <v>25</v>
      </c>
      <c r="H85" s="41" t="s">
        <v>34</v>
      </c>
      <c r="I85" s="60">
        <v>44378</v>
      </c>
      <c r="J85" s="61">
        <f>EFEITO!$J$85*EFEITO!$Y$85</f>
        <v>0</v>
      </c>
      <c r="K85" s="61">
        <f ca="1">EFEITO!$L$85*EFEITO!$Z$85</f>
        <v>37.168596493009446</v>
      </c>
      <c r="L85" s="61">
        <f>EFEITO!$N$85*EFEITO!$AA$85</f>
        <v>2.5614265070113347</v>
      </c>
      <c r="M85" s="61">
        <f>$J$85-EFEITO!$K$85*EFEITO!$Y$85</f>
        <v>0</v>
      </c>
      <c r="N85" s="61">
        <f ca="1">$K$85-EFEITO!$M$85*EFEITO!$Z$85</f>
        <v>0</v>
      </c>
      <c r="O85" s="61">
        <f>$L$85-EFEITO!$O$85*EFEITO!$AA$85</f>
        <v>0</v>
      </c>
      <c r="P85" s="45"/>
      <c r="Q85" s="45"/>
      <c r="R85" s="45"/>
      <c r="S85" s="45"/>
      <c r="T85" s="45"/>
      <c r="U85" s="45"/>
      <c r="V85" s="45"/>
      <c r="W85" s="4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1.25" customHeight="1" x14ac:dyDescent="0.2">
      <c r="A86" s="41" t="s">
        <v>21</v>
      </c>
      <c r="B86" s="41" t="s">
        <v>22</v>
      </c>
      <c r="C86" s="41" t="s">
        <v>33</v>
      </c>
      <c r="D86" s="41" t="s">
        <v>24</v>
      </c>
      <c r="E86" s="41" t="s">
        <v>24</v>
      </c>
      <c r="F86" s="41" t="s">
        <v>25</v>
      </c>
      <c r="G86" s="41" t="s">
        <v>25</v>
      </c>
      <c r="H86" s="41" t="s">
        <v>34</v>
      </c>
      <c r="I86" s="60">
        <v>44409</v>
      </c>
      <c r="J86" s="61">
        <f>EFEITO!$J$86*EFEITO!$Y$86</f>
        <v>0</v>
      </c>
      <c r="K86" s="61">
        <f ca="1">EFEITO!$L$86*EFEITO!$Z$86</f>
        <v>38.8580781517826</v>
      </c>
      <c r="L86" s="61">
        <f>EFEITO!$N$86*EFEITO!$AA$86</f>
        <v>2.6778549846027593</v>
      </c>
      <c r="M86" s="61">
        <f>$J$86-EFEITO!$K$86*EFEITO!$Y$86</f>
        <v>0</v>
      </c>
      <c r="N86" s="61">
        <f ca="1">$K$86-EFEITO!$M$86*EFEITO!$Z$86</f>
        <v>0</v>
      </c>
      <c r="O86" s="61">
        <f>$L$86-EFEITO!$O$86*EFEITO!$AA$86</f>
        <v>0</v>
      </c>
      <c r="P86" s="45"/>
      <c r="Q86" s="45"/>
      <c r="R86" s="45"/>
      <c r="S86" s="45"/>
      <c r="T86" s="45"/>
      <c r="U86" s="45"/>
      <c r="V86" s="45"/>
      <c r="W86" s="4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1.25" customHeight="1" x14ac:dyDescent="0.2">
      <c r="A87" s="41" t="s">
        <v>21</v>
      </c>
      <c r="B87" s="41" t="s">
        <v>22</v>
      </c>
      <c r="C87" s="41" t="s">
        <v>33</v>
      </c>
      <c r="D87" s="41" t="s">
        <v>24</v>
      </c>
      <c r="E87" s="41" t="s">
        <v>24</v>
      </c>
      <c r="F87" s="41" t="s">
        <v>25</v>
      </c>
      <c r="G87" s="41" t="s">
        <v>25</v>
      </c>
      <c r="H87" s="41" t="s">
        <v>34</v>
      </c>
      <c r="I87" s="60">
        <v>44440</v>
      </c>
      <c r="J87" s="61">
        <f>EFEITO!$J$87*EFEITO!$Y$87</f>
        <v>0</v>
      </c>
      <c r="K87" s="61">
        <f ca="1">EFEITO!$L$87*EFEITO!$Z$87</f>
        <v>43.926523128102069</v>
      </c>
      <c r="L87" s="61">
        <f>EFEITO!$N$87*EFEITO!$AA$87</f>
        <v>3.0271404173770318</v>
      </c>
      <c r="M87" s="61">
        <f>$J$87-EFEITO!$K$87*EFEITO!$Y$87</f>
        <v>0</v>
      </c>
      <c r="N87" s="61">
        <f ca="1">$K$87-EFEITO!$M$87*EFEITO!$Z$87</f>
        <v>0</v>
      </c>
      <c r="O87" s="61">
        <f>$L$87-EFEITO!$O$87*EFEITO!$AA$87</f>
        <v>0</v>
      </c>
      <c r="P87" s="45"/>
      <c r="Q87" s="45"/>
      <c r="R87" s="45"/>
      <c r="S87" s="45"/>
      <c r="T87" s="45"/>
      <c r="U87" s="45"/>
      <c r="V87" s="45"/>
      <c r="W87" s="4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1.25" customHeight="1" x14ac:dyDescent="0.2">
      <c r="A88" s="41" t="s">
        <v>21</v>
      </c>
      <c r="B88" s="41" t="s">
        <v>22</v>
      </c>
      <c r="C88" s="41" t="s">
        <v>33</v>
      </c>
      <c r="D88" s="41" t="s">
        <v>24</v>
      </c>
      <c r="E88" s="41" t="s">
        <v>24</v>
      </c>
      <c r="F88" s="41" t="s">
        <v>25</v>
      </c>
      <c r="G88" s="41" t="s">
        <v>25</v>
      </c>
      <c r="H88" s="41" t="s">
        <v>34</v>
      </c>
      <c r="I88" s="60">
        <v>44470</v>
      </c>
      <c r="J88" s="61">
        <f>EFEITO!$J$88*EFEITO!$Y$88</f>
        <v>0</v>
      </c>
      <c r="K88" s="61">
        <f ca="1">EFEITO!$L$88*EFEITO!$Z$88</f>
        <v>40.547559810555761</v>
      </c>
      <c r="L88" s="61">
        <f>EFEITO!$N$88*EFEITO!$AA$88</f>
        <v>2.7942834621941834</v>
      </c>
      <c r="M88" s="61">
        <f>$J$88-EFEITO!$K$88*EFEITO!$Y$88</f>
        <v>0</v>
      </c>
      <c r="N88" s="61">
        <f ca="1">$K$88-EFEITO!$M$88*EFEITO!$Z$88</f>
        <v>0</v>
      </c>
      <c r="O88" s="61">
        <f>$L$88-EFEITO!$O$88*EFEITO!$AA$88</f>
        <v>0</v>
      </c>
      <c r="P88" s="45"/>
      <c r="Q88" s="45"/>
      <c r="R88" s="45"/>
      <c r="S88" s="45"/>
      <c r="T88" s="45"/>
      <c r="U88" s="45"/>
      <c r="V88" s="45"/>
      <c r="W88" s="4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1.25" customHeight="1" x14ac:dyDescent="0.2">
      <c r="A89" s="41" t="s">
        <v>21</v>
      </c>
      <c r="B89" s="41" t="s">
        <v>22</v>
      </c>
      <c r="C89" s="41" t="s">
        <v>33</v>
      </c>
      <c r="D89" s="41" t="s">
        <v>24</v>
      </c>
      <c r="E89" s="41" t="s">
        <v>24</v>
      </c>
      <c r="F89" s="41" t="s">
        <v>25</v>
      </c>
      <c r="G89" s="41" t="s">
        <v>25</v>
      </c>
      <c r="H89" s="41" t="s">
        <v>34</v>
      </c>
      <c r="I89" s="60">
        <v>44501</v>
      </c>
      <c r="J89" s="61">
        <f>EFEITO!$J$89*EFEITO!$Y$89</f>
        <v>0</v>
      </c>
      <c r="K89" s="61">
        <f ca="1">EFEITO!$L$89*EFEITO!$Z$89</f>
        <v>37.168596493009446</v>
      </c>
      <c r="L89" s="61">
        <f>EFEITO!$N$89*EFEITO!$AA$89</f>
        <v>2.5614265070113347</v>
      </c>
      <c r="M89" s="61">
        <f>$J$89-EFEITO!$K$89*EFEITO!$Y$89</f>
        <v>0</v>
      </c>
      <c r="N89" s="61">
        <f ca="1">$K$89-EFEITO!$M$89*EFEITO!$Z$89</f>
        <v>0</v>
      </c>
      <c r="O89" s="61">
        <f>$L$89-EFEITO!$O$89*EFEITO!$AA$89</f>
        <v>0</v>
      </c>
      <c r="P89" s="45"/>
      <c r="Q89" s="45"/>
      <c r="R89" s="45"/>
      <c r="S89" s="45"/>
      <c r="T89" s="45"/>
      <c r="U89" s="45"/>
      <c r="V89" s="45"/>
      <c r="W89" s="4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1.25" customHeight="1" x14ac:dyDescent="0.2">
      <c r="A90" s="41" t="s">
        <v>21</v>
      </c>
      <c r="B90" s="41" t="s">
        <v>22</v>
      </c>
      <c r="C90" s="41" t="s">
        <v>33</v>
      </c>
      <c r="D90" s="41" t="s">
        <v>24</v>
      </c>
      <c r="E90" s="41" t="s">
        <v>24</v>
      </c>
      <c r="F90" s="41" t="s">
        <v>25</v>
      </c>
      <c r="G90" s="41" t="s">
        <v>25</v>
      </c>
      <c r="H90" s="41" t="s">
        <v>34</v>
      </c>
      <c r="I90" s="60">
        <v>44531</v>
      </c>
      <c r="J90" s="61">
        <f>EFEITO!$J$90*EFEITO!$Y$90</f>
        <v>0</v>
      </c>
      <c r="K90" s="61">
        <f ca="1">EFEITO!$L$90*EFEITO!$Z$90</f>
        <v>45.61600478687523</v>
      </c>
      <c r="L90" s="61">
        <f>EFEITO!$N$90*EFEITO!$AA$90</f>
        <v>3.1435688949684564</v>
      </c>
      <c r="M90" s="61">
        <f>$J$90-EFEITO!$K$90*EFEITO!$Y$90</f>
        <v>0</v>
      </c>
      <c r="N90" s="61">
        <f ca="1">$K$90-EFEITO!$M$90*EFEITO!$Z$90</f>
        <v>0</v>
      </c>
      <c r="O90" s="61">
        <f>$L$90-EFEITO!$O$90*EFEITO!$AA$90</f>
        <v>0</v>
      </c>
      <c r="P90" s="45"/>
      <c r="Q90" s="45"/>
      <c r="R90" s="45"/>
      <c r="S90" s="45"/>
      <c r="T90" s="45"/>
      <c r="U90" s="45"/>
      <c r="V90" s="45"/>
      <c r="W90" s="4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1.25" customHeight="1" x14ac:dyDescent="0.2">
      <c r="A91" s="41" t="s">
        <v>21</v>
      </c>
      <c r="B91" s="41" t="s">
        <v>22</v>
      </c>
      <c r="C91" s="41" t="s">
        <v>33</v>
      </c>
      <c r="D91" s="41" t="s">
        <v>24</v>
      </c>
      <c r="E91" s="41" t="s">
        <v>24</v>
      </c>
      <c r="F91" s="41" t="s">
        <v>25</v>
      </c>
      <c r="G91" s="41" t="s">
        <v>25</v>
      </c>
      <c r="H91" s="41" t="s">
        <v>34</v>
      </c>
      <c r="I91" s="60">
        <v>44562</v>
      </c>
      <c r="J91" s="61">
        <f>EFEITO!$J$91*EFEITO!$Y$91</f>
        <v>0</v>
      </c>
      <c r="K91" s="61">
        <f ca="1">EFEITO!$L$91*EFEITO!$Z$91</f>
        <v>48.994968104421545</v>
      </c>
      <c r="L91" s="61">
        <f>EFEITO!$N$91*EFEITO!$AA$91</f>
        <v>3.3764258501513051</v>
      </c>
      <c r="M91" s="61">
        <f>$J$91-EFEITO!$K$91*EFEITO!$Y$91</f>
        <v>0</v>
      </c>
      <c r="N91" s="61">
        <f ca="1">$K$91-EFEITO!$M$91*EFEITO!$Z$91</f>
        <v>0</v>
      </c>
      <c r="O91" s="61">
        <f>$L$91-EFEITO!$O$91*EFEITO!$AA$91</f>
        <v>0</v>
      </c>
      <c r="P91" s="45"/>
      <c r="Q91" s="45"/>
      <c r="R91" s="45"/>
      <c r="S91" s="45"/>
      <c r="T91" s="45"/>
      <c r="U91" s="45"/>
      <c r="V91" s="45"/>
      <c r="W91" s="4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1.25" customHeight="1" x14ac:dyDescent="0.2">
      <c r="A92" s="41" t="s">
        <v>21</v>
      </c>
      <c r="B92" s="41" t="s">
        <v>22</v>
      </c>
      <c r="C92" s="41" t="s">
        <v>33</v>
      </c>
      <c r="D92" s="41" t="s">
        <v>24</v>
      </c>
      <c r="E92" s="41" t="s">
        <v>24</v>
      </c>
      <c r="F92" s="41" t="s">
        <v>25</v>
      </c>
      <c r="G92" s="41" t="s">
        <v>25</v>
      </c>
      <c r="H92" s="41" t="s">
        <v>34</v>
      </c>
      <c r="I92" s="60">
        <v>44593</v>
      </c>
      <c r="J92" s="61">
        <f>EFEITO!$J$92*EFEITO!$Y$92</f>
        <v>0</v>
      </c>
      <c r="K92" s="61">
        <f ca="1">EFEITO!$L$92*EFEITO!$Z$92</f>
        <v>48.994968104421545</v>
      </c>
      <c r="L92" s="61">
        <f>EFEITO!$N$92*EFEITO!$AA$92</f>
        <v>3.3764258501513051</v>
      </c>
      <c r="M92" s="61">
        <f>$J$92-EFEITO!$K$92*EFEITO!$Y$92</f>
        <v>0</v>
      </c>
      <c r="N92" s="61">
        <f ca="1">$K$92-EFEITO!$M$92*EFEITO!$Z$92</f>
        <v>0</v>
      </c>
      <c r="O92" s="61">
        <f>$L$92-EFEITO!$O$92*EFEITO!$AA$92</f>
        <v>0</v>
      </c>
      <c r="P92" s="45"/>
      <c r="Q92" s="45"/>
      <c r="R92" s="45"/>
      <c r="S92" s="45"/>
      <c r="T92" s="45"/>
      <c r="U92" s="45"/>
      <c r="V92" s="45"/>
      <c r="W92" s="4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1.25" customHeight="1" x14ac:dyDescent="0.2">
      <c r="A93" s="41" t="s">
        <v>21</v>
      </c>
      <c r="B93" s="41" t="s">
        <v>22</v>
      </c>
      <c r="C93" s="41" t="s">
        <v>33</v>
      </c>
      <c r="D93" s="41" t="s">
        <v>24</v>
      </c>
      <c r="E93" s="41" t="s">
        <v>24</v>
      </c>
      <c r="F93" s="41" t="s">
        <v>25</v>
      </c>
      <c r="G93" s="41" t="s">
        <v>25</v>
      </c>
      <c r="H93" s="41" t="s">
        <v>34</v>
      </c>
      <c r="I93" s="60">
        <v>44621</v>
      </c>
      <c r="J93" s="61">
        <f>EFEITO!$J$93*EFEITO!$Y$93</f>
        <v>0</v>
      </c>
      <c r="K93" s="61">
        <f ca="1">EFEITO!$L$93*EFEITO!$Z$93</f>
        <v>40.547559810555761</v>
      </c>
      <c r="L93" s="61">
        <f>EFEITO!$N$93*EFEITO!$AA$93</f>
        <v>2.7942834621941834</v>
      </c>
      <c r="M93" s="61">
        <f>$J$93-EFEITO!$K$93*EFEITO!$Y$93</f>
        <v>0</v>
      </c>
      <c r="N93" s="61">
        <f ca="1">$K$93-EFEITO!$M$93*EFEITO!$Z$93</f>
        <v>0</v>
      </c>
      <c r="O93" s="61">
        <f>$L$93-EFEITO!$O$93*EFEITO!$AA$93</f>
        <v>0</v>
      </c>
      <c r="P93" s="45"/>
      <c r="Q93" s="45"/>
      <c r="R93" s="45"/>
      <c r="S93" s="45"/>
      <c r="T93" s="45"/>
      <c r="U93" s="45"/>
      <c r="V93" s="45"/>
      <c r="W93" s="4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1.25" customHeight="1" x14ac:dyDescent="0.2">
      <c r="A94" s="41" t="s">
        <v>21</v>
      </c>
      <c r="B94" s="41" t="s">
        <v>22</v>
      </c>
      <c r="C94" s="41" t="s">
        <v>23</v>
      </c>
      <c r="D94" s="41" t="s">
        <v>24</v>
      </c>
      <c r="E94" s="41" t="s">
        <v>24</v>
      </c>
      <c r="F94" s="41" t="s">
        <v>25</v>
      </c>
      <c r="G94" s="41" t="s">
        <v>25</v>
      </c>
      <c r="H94" s="41" t="s">
        <v>25</v>
      </c>
      <c r="I94" s="60">
        <v>44378</v>
      </c>
      <c r="J94" s="61">
        <f>EFEITO!$J$94*EFEITO!$Y$94</f>
        <v>0</v>
      </c>
      <c r="K94" s="61">
        <f ca="1">EFEITO!$L$94*EFEITO!$Z$94</f>
        <v>663658.85246294853</v>
      </c>
      <c r="L94" s="61">
        <f>EFEITO!$N$94*EFEITO!$AA$94</f>
        <v>115312.04491980014</v>
      </c>
      <c r="M94" s="61">
        <f>$J$94-EFEITO!$K$94*EFEITO!$Y$94</f>
        <v>0</v>
      </c>
      <c r="N94" s="61">
        <f ca="1">$K$94-EFEITO!$M$94*EFEITO!$Z$94</f>
        <v>0</v>
      </c>
      <c r="O94" s="61">
        <f>$L$94-EFEITO!$O$94*EFEITO!$AA$94</f>
        <v>0</v>
      </c>
      <c r="P94" s="45"/>
      <c r="Q94" s="45"/>
      <c r="R94" s="45"/>
      <c r="S94" s="45"/>
      <c r="T94" s="45"/>
      <c r="U94" s="45"/>
      <c r="V94" s="45"/>
      <c r="W94" s="4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1.25" customHeight="1" x14ac:dyDescent="0.2">
      <c r="A95" s="41" t="s">
        <v>27</v>
      </c>
      <c r="B95" s="41" t="s">
        <v>22</v>
      </c>
      <c r="C95" s="41" t="s">
        <v>23</v>
      </c>
      <c r="D95" s="41" t="s">
        <v>24</v>
      </c>
      <c r="E95" s="41" t="s">
        <v>24</v>
      </c>
      <c r="F95" s="41" t="s">
        <v>25</v>
      </c>
      <c r="G95" s="41" t="s">
        <v>25</v>
      </c>
      <c r="H95" s="41" t="s">
        <v>25</v>
      </c>
      <c r="I95" s="60">
        <v>44378</v>
      </c>
      <c r="J95" s="61">
        <f>EFEITO!$J$95*EFEITO!$Y$95</f>
        <v>0</v>
      </c>
      <c r="K95" s="61">
        <f ca="1">EFEITO!$L$95*EFEITO!$Z$95</f>
        <v>-918.68556258634294</v>
      </c>
      <c r="L95" s="61">
        <f>EFEITO!$N$95*EFEITO!$AA$95</f>
        <v>-159.62344277784274</v>
      </c>
      <c r="M95" s="61">
        <f>$J$95-EFEITO!$K$95*EFEITO!$Y$95</f>
        <v>0</v>
      </c>
      <c r="N95" s="61">
        <f ca="1">$K$95-EFEITO!$M$95*EFEITO!$Z$95</f>
        <v>0</v>
      </c>
      <c r="O95" s="61">
        <f>$L$95-EFEITO!$O$95*EFEITO!$AA$95</f>
        <v>0</v>
      </c>
      <c r="P95" s="45"/>
      <c r="Q95" s="45"/>
      <c r="R95" s="45"/>
      <c r="S95" s="45"/>
      <c r="T95" s="45"/>
      <c r="U95" s="45"/>
      <c r="V95" s="45"/>
      <c r="W95" s="4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1.25" customHeight="1" x14ac:dyDescent="0.2">
      <c r="A96" s="41" t="s">
        <v>28</v>
      </c>
      <c r="B96" s="41" t="s">
        <v>22</v>
      </c>
      <c r="C96" s="41" t="s">
        <v>23</v>
      </c>
      <c r="D96" s="41" t="s">
        <v>24</v>
      </c>
      <c r="E96" s="41" t="s">
        <v>24</v>
      </c>
      <c r="F96" s="41" t="s">
        <v>25</v>
      </c>
      <c r="G96" s="41" t="s">
        <v>25</v>
      </c>
      <c r="H96" s="41" t="s">
        <v>25</v>
      </c>
      <c r="I96" s="60">
        <v>44378</v>
      </c>
      <c r="J96" s="61">
        <f>EFEITO!$J$96*EFEITO!$Y$96</f>
        <v>0</v>
      </c>
      <c r="K96" s="61">
        <f ca="1">EFEITO!$L$96*EFEITO!$Z$96</f>
        <v>705.59875813524366</v>
      </c>
      <c r="L96" s="61">
        <f>EFEITO!$N$96*EFEITO!$AA$96</f>
        <v>122.59918690376979</v>
      </c>
      <c r="M96" s="61">
        <f>$J$96-EFEITO!$K$96*EFEITO!$Y$96</f>
        <v>0</v>
      </c>
      <c r="N96" s="61">
        <f ca="1">$K$96-EFEITO!$M$96*EFEITO!$Z$96</f>
        <v>0</v>
      </c>
      <c r="O96" s="61">
        <f>$L$96-EFEITO!$O$96*EFEITO!$AA$96</f>
        <v>0</v>
      </c>
      <c r="P96" s="45"/>
      <c r="Q96" s="45"/>
      <c r="R96" s="45"/>
      <c r="S96" s="45"/>
      <c r="T96" s="45"/>
      <c r="U96" s="45"/>
      <c r="V96" s="45"/>
      <c r="W96" s="4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1.25" customHeight="1" x14ac:dyDescent="0.2">
      <c r="A97" s="41" t="s">
        <v>21</v>
      </c>
      <c r="B97" s="41" t="s">
        <v>22</v>
      </c>
      <c r="C97" s="41" t="s">
        <v>23</v>
      </c>
      <c r="D97" s="41" t="s">
        <v>24</v>
      </c>
      <c r="E97" s="41" t="s">
        <v>24</v>
      </c>
      <c r="F97" s="41" t="s">
        <v>25</v>
      </c>
      <c r="G97" s="41" t="s">
        <v>25</v>
      </c>
      <c r="H97" s="41" t="s">
        <v>25</v>
      </c>
      <c r="I97" s="60">
        <v>44409</v>
      </c>
      <c r="J97" s="61">
        <f>EFEITO!$J$97*EFEITO!$Y$97</f>
        <v>0</v>
      </c>
      <c r="K97" s="61">
        <f ca="1">EFEITO!$L$97*EFEITO!$Z$97</f>
        <v>709360.61134338356</v>
      </c>
      <c r="L97" s="61">
        <f>EFEITO!$N$97*EFEITO!$AA$97</f>
        <v>123252.81637696805</v>
      </c>
      <c r="M97" s="61">
        <f>$J$97-EFEITO!$K$97*EFEITO!$Y$97</f>
        <v>0</v>
      </c>
      <c r="N97" s="61">
        <f ca="1">$K$97-EFEITO!$M$97*EFEITO!$Z$97</f>
        <v>0</v>
      </c>
      <c r="O97" s="61">
        <f>$L$97-EFEITO!$O$97*EFEITO!$AA$97</f>
        <v>0</v>
      </c>
      <c r="P97" s="45"/>
      <c r="Q97" s="45"/>
      <c r="R97" s="45"/>
      <c r="S97" s="45"/>
      <c r="T97" s="45"/>
      <c r="U97" s="45"/>
      <c r="V97" s="45"/>
      <c r="W97" s="4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1.25" customHeight="1" x14ac:dyDescent="0.2">
      <c r="A98" s="41" t="s">
        <v>28</v>
      </c>
      <c r="B98" s="41" t="s">
        <v>22</v>
      </c>
      <c r="C98" s="41" t="s">
        <v>23</v>
      </c>
      <c r="D98" s="41" t="s">
        <v>24</v>
      </c>
      <c r="E98" s="41" t="s">
        <v>24</v>
      </c>
      <c r="F98" s="41" t="s">
        <v>25</v>
      </c>
      <c r="G98" s="41" t="s">
        <v>25</v>
      </c>
      <c r="H98" s="41" t="s">
        <v>25</v>
      </c>
      <c r="I98" s="60">
        <v>44409</v>
      </c>
      <c r="J98" s="61">
        <f>EFEITO!$J$98*EFEITO!$Y$98</f>
        <v>0</v>
      </c>
      <c r="K98" s="61">
        <f ca="1">EFEITO!$L$98*EFEITO!$Z$98</f>
        <v>696.21757806506946</v>
      </c>
      <c r="L98" s="61">
        <f>EFEITO!$N$98*EFEITO!$AA$98</f>
        <v>120.96918821748984</v>
      </c>
      <c r="M98" s="61">
        <f>$J$98-EFEITO!$K$98*EFEITO!$Y$98</f>
        <v>0</v>
      </c>
      <c r="N98" s="61">
        <f ca="1">$K$98-EFEITO!$M$98*EFEITO!$Z$98</f>
        <v>0</v>
      </c>
      <c r="O98" s="61">
        <f>$L$98-EFEITO!$O$98*EFEITO!$AA$98</f>
        <v>0</v>
      </c>
      <c r="P98" s="45"/>
      <c r="Q98" s="45"/>
      <c r="R98" s="45"/>
      <c r="S98" s="45"/>
      <c r="T98" s="45"/>
      <c r="U98" s="45"/>
      <c r="V98" s="45"/>
      <c r="W98" s="4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1.25" customHeight="1" x14ac:dyDescent="0.2">
      <c r="A99" s="41" t="s">
        <v>21</v>
      </c>
      <c r="B99" s="41" t="s">
        <v>22</v>
      </c>
      <c r="C99" s="41" t="s">
        <v>23</v>
      </c>
      <c r="D99" s="41" t="s">
        <v>24</v>
      </c>
      <c r="E99" s="41" t="s">
        <v>24</v>
      </c>
      <c r="F99" s="41" t="s">
        <v>25</v>
      </c>
      <c r="G99" s="41" t="s">
        <v>25</v>
      </c>
      <c r="H99" s="41" t="s">
        <v>25</v>
      </c>
      <c r="I99" s="60">
        <v>44440</v>
      </c>
      <c r="J99" s="61">
        <f>EFEITO!$J$99*EFEITO!$Y$99</f>
        <v>0</v>
      </c>
      <c r="K99" s="61">
        <f ca="1">EFEITO!$L$99*EFEITO!$Z$99</f>
        <v>683345.92892449989</v>
      </c>
      <c r="L99" s="61">
        <f>EFEITO!$N$99*EFEITO!$AA$99</f>
        <v>118732.7135914362</v>
      </c>
      <c r="M99" s="61">
        <f>$J$99-EFEITO!$K$99*EFEITO!$Y$99</f>
        <v>0</v>
      </c>
      <c r="N99" s="61">
        <f ca="1">$K$99-EFEITO!$M$99*EFEITO!$Z$99</f>
        <v>0</v>
      </c>
      <c r="O99" s="61">
        <f>$L$99-EFEITO!$O$99*EFEITO!$AA$99</f>
        <v>0</v>
      </c>
      <c r="P99" s="45"/>
      <c r="Q99" s="45"/>
      <c r="R99" s="45"/>
      <c r="S99" s="45"/>
      <c r="T99" s="45"/>
      <c r="U99" s="45"/>
      <c r="V99" s="45"/>
      <c r="W99" s="4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1.25" customHeight="1" x14ac:dyDescent="0.2">
      <c r="A100" s="41" t="s">
        <v>27</v>
      </c>
      <c r="B100" s="41" t="s">
        <v>22</v>
      </c>
      <c r="C100" s="41" t="s">
        <v>23</v>
      </c>
      <c r="D100" s="41" t="s">
        <v>24</v>
      </c>
      <c r="E100" s="41" t="s">
        <v>24</v>
      </c>
      <c r="F100" s="41" t="s">
        <v>25</v>
      </c>
      <c r="G100" s="41" t="s">
        <v>25</v>
      </c>
      <c r="H100" s="41" t="s">
        <v>25</v>
      </c>
      <c r="I100" s="60">
        <v>44440</v>
      </c>
      <c r="J100" s="61">
        <f>EFEITO!$J$100*EFEITO!$Y$100</f>
        <v>0</v>
      </c>
      <c r="K100" s="61">
        <f ca="1">EFEITO!$L$100*EFEITO!$Z$100</f>
        <v>-142.7279539247929</v>
      </c>
      <c r="L100" s="61">
        <f>EFEITO!$N$100*EFEITO!$AA$100</f>
        <v>-24.799265726973378</v>
      </c>
      <c r="M100" s="61">
        <f>$J$100-EFEITO!$K$100*EFEITO!$Y$100</f>
        <v>0</v>
      </c>
      <c r="N100" s="61">
        <f ca="1">$K$100-EFEITO!$M$100*EFEITO!$Z$100</f>
        <v>0</v>
      </c>
      <c r="O100" s="61">
        <f>$L$100-EFEITO!$O$100*EFEITO!$AA$100</f>
        <v>0</v>
      </c>
      <c r="P100" s="45"/>
      <c r="Q100" s="45"/>
      <c r="R100" s="45"/>
      <c r="S100" s="45"/>
      <c r="T100" s="45"/>
      <c r="U100" s="45"/>
      <c r="V100" s="45"/>
      <c r="W100" s="4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1.25" customHeight="1" x14ac:dyDescent="0.2">
      <c r="A101" s="41" t="s">
        <v>28</v>
      </c>
      <c r="B101" s="41" t="s">
        <v>22</v>
      </c>
      <c r="C101" s="41" t="s">
        <v>23</v>
      </c>
      <c r="D101" s="41" t="s">
        <v>24</v>
      </c>
      <c r="E101" s="41" t="s">
        <v>24</v>
      </c>
      <c r="F101" s="41" t="s">
        <v>25</v>
      </c>
      <c r="G101" s="41" t="s">
        <v>25</v>
      </c>
      <c r="H101" s="41" t="s">
        <v>25</v>
      </c>
      <c r="I101" s="60">
        <v>44440</v>
      </c>
      <c r="J101" s="61">
        <f>EFEITO!$J$101*EFEITO!$Y$101</f>
        <v>0</v>
      </c>
      <c r="K101" s="61">
        <f ca="1">EFEITO!$L$101*EFEITO!$Z$101</f>
        <v>1252.3875393682531</v>
      </c>
      <c r="L101" s="61">
        <f>EFEITO!$N$101*EFEITO!$AA$101</f>
        <v>217.60482461837205</v>
      </c>
      <c r="M101" s="61">
        <f>$J$101-EFEITO!$K$101*EFEITO!$Y$101</f>
        <v>0</v>
      </c>
      <c r="N101" s="61">
        <f ca="1">$K$101-EFEITO!$M$101*EFEITO!$Z$101</f>
        <v>0</v>
      </c>
      <c r="O101" s="61">
        <f>$L$101-EFEITO!$O$101*EFEITO!$AA$101</f>
        <v>0</v>
      </c>
      <c r="P101" s="45"/>
      <c r="Q101" s="45"/>
      <c r="R101" s="45"/>
      <c r="S101" s="45"/>
      <c r="T101" s="45"/>
      <c r="U101" s="45"/>
      <c r="V101" s="45"/>
      <c r="W101" s="4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1.25" customHeight="1" x14ac:dyDescent="0.2">
      <c r="A102" s="41" t="s">
        <v>21</v>
      </c>
      <c r="B102" s="41" t="s">
        <v>22</v>
      </c>
      <c r="C102" s="41" t="s">
        <v>23</v>
      </c>
      <c r="D102" s="41" t="s">
        <v>24</v>
      </c>
      <c r="E102" s="41" t="s">
        <v>24</v>
      </c>
      <c r="F102" s="41" t="s">
        <v>25</v>
      </c>
      <c r="G102" s="41" t="s">
        <v>25</v>
      </c>
      <c r="H102" s="41" t="s">
        <v>25</v>
      </c>
      <c r="I102" s="60">
        <v>44470</v>
      </c>
      <c r="J102" s="61">
        <f>EFEITO!$J$102*EFEITO!$Y$102</f>
        <v>0</v>
      </c>
      <c r="K102" s="61">
        <f ca="1">EFEITO!$L$102*EFEITO!$Z$102</f>
        <v>701192.28383942472</v>
      </c>
      <c r="L102" s="61">
        <f>EFEITO!$N$102*EFEITO!$AA$102</f>
        <v>121833.55323512859</v>
      </c>
      <c r="M102" s="61">
        <f>$J$102-EFEITO!$K$102*EFEITO!$Y$102</f>
        <v>0</v>
      </c>
      <c r="N102" s="61">
        <f ca="1">$K$102-EFEITO!$M$102*EFEITO!$Z$102</f>
        <v>0</v>
      </c>
      <c r="O102" s="61">
        <f>$L$102-EFEITO!$O$102*EFEITO!$AA$102</f>
        <v>0</v>
      </c>
      <c r="P102" s="45"/>
      <c r="Q102" s="45"/>
      <c r="R102" s="45"/>
      <c r="S102" s="45"/>
      <c r="T102" s="45"/>
      <c r="U102" s="45"/>
      <c r="V102" s="45"/>
      <c r="W102" s="4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1.25" customHeight="1" x14ac:dyDescent="0.2">
      <c r="A103" s="41" t="s">
        <v>27</v>
      </c>
      <c r="B103" s="41" t="s">
        <v>22</v>
      </c>
      <c r="C103" s="41" t="s">
        <v>23</v>
      </c>
      <c r="D103" s="41" t="s">
        <v>24</v>
      </c>
      <c r="E103" s="41" t="s">
        <v>24</v>
      </c>
      <c r="F103" s="41" t="s">
        <v>25</v>
      </c>
      <c r="G103" s="41" t="s">
        <v>25</v>
      </c>
      <c r="H103" s="41" t="s">
        <v>25</v>
      </c>
      <c r="I103" s="60">
        <v>44470</v>
      </c>
      <c r="J103" s="61">
        <f>EFEITO!$J$103*EFEITO!$Y$103</f>
        <v>0</v>
      </c>
      <c r="K103" s="61">
        <f ca="1">EFEITO!$L$103*EFEITO!$Z$103</f>
        <v>-8.7110957794474526</v>
      </c>
      <c r="L103" s="61">
        <f>EFEITO!$N$103*EFEITO!$AA$103</f>
        <v>-1.5135702086885159</v>
      </c>
      <c r="M103" s="61">
        <f>$J$103-EFEITO!$K$103*EFEITO!$Y$103</f>
        <v>0</v>
      </c>
      <c r="N103" s="61">
        <f ca="1">$K$103-EFEITO!$M$103*EFEITO!$Z$103</f>
        <v>0</v>
      </c>
      <c r="O103" s="61">
        <f>$L$103-EFEITO!$O$103*EFEITO!$AA$103</f>
        <v>0</v>
      </c>
      <c r="P103" s="45"/>
      <c r="Q103" s="45"/>
      <c r="R103" s="45"/>
      <c r="S103" s="45"/>
      <c r="T103" s="45"/>
      <c r="U103" s="45"/>
      <c r="V103" s="45"/>
      <c r="W103" s="4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1.25" customHeight="1" x14ac:dyDescent="0.2">
      <c r="A104" s="41" t="s">
        <v>28</v>
      </c>
      <c r="B104" s="41" t="s">
        <v>22</v>
      </c>
      <c r="C104" s="41" t="s">
        <v>23</v>
      </c>
      <c r="D104" s="41" t="s">
        <v>24</v>
      </c>
      <c r="E104" s="41" t="s">
        <v>24</v>
      </c>
      <c r="F104" s="41" t="s">
        <v>25</v>
      </c>
      <c r="G104" s="41" t="s">
        <v>25</v>
      </c>
      <c r="H104" s="41" t="s">
        <v>25</v>
      </c>
      <c r="I104" s="60">
        <v>44470</v>
      </c>
      <c r="J104" s="61">
        <f>EFEITO!$J$104*EFEITO!$Y$104</f>
        <v>0</v>
      </c>
      <c r="K104" s="61">
        <f ca="1">EFEITO!$L$104*EFEITO!$Z$104</f>
        <v>1033.2699763006133</v>
      </c>
      <c r="L104" s="61">
        <f>EFEITO!$N$104*EFEITO!$AA$104</f>
        <v>179.5327124459763</v>
      </c>
      <c r="M104" s="61">
        <f>$J$104-EFEITO!$K$104*EFEITO!$Y$104</f>
        <v>0</v>
      </c>
      <c r="N104" s="61">
        <f ca="1">$K$104-EFEITO!$M$104*EFEITO!$Z$104</f>
        <v>0</v>
      </c>
      <c r="O104" s="61">
        <f>$L$104-EFEITO!$O$104*EFEITO!$AA$104</f>
        <v>0</v>
      </c>
      <c r="P104" s="45"/>
      <c r="Q104" s="45"/>
      <c r="R104" s="45"/>
      <c r="S104" s="45"/>
      <c r="T104" s="45"/>
      <c r="U104" s="45"/>
      <c r="V104" s="45"/>
      <c r="W104" s="4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1.25" customHeight="1" x14ac:dyDescent="0.2">
      <c r="A105" s="41" t="s">
        <v>21</v>
      </c>
      <c r="B105" s="41" t="s">
        <v>22</v>
      </c>
      <c r="C105" s="41" t="s">
        <v>23</v>
      </c>
      <c r="D105" s="41" t="s">
        <v>24</v>
      </c>
      <c r="E105" s="41" t="s">
        <v>24</v>
      </c>
      <c r="F105" s="41" t="s">
        <v>25</v>
      </c>
      <c r="G105" s="41" t="s">
        <v>25</v>
      </c>
      <c r="H105" s="41" t="s">
        <v>25</v>
      </c>
      <c r="I105" s="60">
        <v>44501</v>
      </c>
      <c r="J105" s="61">
        <f>EFEITO!$J$105*EFEITO!$Y$105</f>
        <v>0</v>
      </c>
      <c r="K105" s="61">
        <f ca="1">EFEITO!$L$105*EFEITO!$Z$105</f>
        <v>670109.75392977486</v>
      </c>
      <c r="L105" s="61">
        <f>EFEITO!$N$105*EFEITO!$AA$105</f>
        <v>116432.90187357279</v>
      </c>
      <c r="M105" s="61">
        <f>$J$105-EFEITO!$K$105*EFEITO!$Y$105</f>
        <v>0</v>
      </c>
      <c r="N105" s="61">
        <f ca="1">$K$105-EFEITO!$M$105*EFEITO!$Z$105</f>
        <v>0</v>
      </c>
      <c r="O105" s="61">
        <f>$L$105-EFEITO!$O$105*EFEITO!$AA$105</f>
        <v>0</v>
      </c>
      <c r="P105" s="45"/>
      <c r="Q105" s="45"/>
      <c r="R105" s="45"/>
      <c r="S105" s="45"/>
      <c r="T105" s="45"/>
      <c r="U105" s="45"/>
      <c r="V105" s="45"/>
      <c r="W105" s="4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1.25" customHeight="1" x14ac:dyDescent="0.2">
      <c r="A106" s="41" t="s">
        <v>27</v>
      </c>
      <c r="B106" s="41" t="s">
        <v>22</v>
      </c>
      <c r="C106" s="41" t="s">
        <v>23</v>
      </c>
      <c r="D106" s="41" t="s">
        <v>24</v>
      </c>
      <c r="E106" s="41" t="s">
        <v>24</v>
      </c>
      <c r="F106" s="41" t="s">
        <v>25</v>
      </c>
      <c r="G106" s="41" t="s">
        <v>25</v>
      </c>
      <c r="H106" s="41" t="s">
        <v>25</v>
      </c>
      <c r="I106" s="60">
        <v>44501</v>
      </c>
      <c r="J106" s="61">
        <f>EFEITO!$J$106*EFEITO!$Y$106</f>
        <v>0</v>
      </c>
      <c r="K106" s="61">
        <f ca="1">EFEITO!$L$106*EFEITO!$Z$106</f>
        <v>-116.59466658645053</v>
      </c>
      <c r="L106" s="61">
        <f>EFEITO!$N$106*EFEITO!$AA$106</f>
        <v>-20.258555100907827</v>
      </c>
      <c r="M106" s="61">
        <f>$J$106-EFEITO!$K$106*EFEITO!$Y$106</f>
        <v>0</v>
      </c>
      <c r="N106" s="61">
        <f ca="1">$K$106-EFEITO!$M$106*EFEITO!$Z$106</f>
        <v>0</v>
      </c>
      <c r="O106" s="61">
        <f>$L$106-EFEITO!$O$106*EFEITO!$AA$106</f>
        <v>0</v>
      </c>
      <c r="P106" s="45"/>
      <c r="Q106" s="45"/>
      <c r="R106" s="45"/>
      <c r="S106" s="45"/>
      <c r="T106" s="45"/>
      <c r="U106" s="45"/>
      <c r="V106" s="45"/>
      <c r="W106" s="45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1.25" customHeight="1" x14ac:dyDescent="0.2">
      <c r="A107" s="41" t="s">
        <v>28</v>
      </c>
      <c r="B107" s="41" t="s">
        <v>22</v>
      </c>
      <c r="C107" s="41" t="s">
        <v>23</v>
      </c>
      <c r="D107" s="41" t="s">
        <v>24</v>
      </c>
      <c r="E107" s="41" t="s">
        <v>24</v>
      </c>
      <c r="F107" s="41" t="s">
        <v>25</v>
      </c>
      <c r="G107" s="41" t="s">
        <v>25</v>
      </c>
      <c r="H107" s="41" t="s">
        <v>25</v>
      </c>
      <c r="I107" s="60">
        <v>44501</v>
      </c>
      <c r="J107" s="61">
        <f>EFEITO!$J$107*EFEITO!$Y$107</f>
        <v>0</v>
      </c>
      <c r="K107" s="61">
        <f ca="1">EFEITO!$L$107*EFEITO!$Z$107</f>
        <v>615.13737888713558</v>
      </c>
      <c r="L107" s="61">
        <f>EFEITO!$N$107*EFEITO!$AA$107</f>
        <v>106.88134242892752</v>
      </c>
      <c r="M107" s="61">
        <f>$J$107-EFEITO!$K$107*EFEITO!$Y$107</f>
        <v>0</v>
      </c>
      <c r="N107" s="61">
        <f ca="1">$K$107-EFEITO!$M$107*EFEITO!$Z$107</f>
        <v>0</v>
      </c>
      <c r="O107" s="61">
        <f>$L$107-EFEITO!$O$107*EFEITO!$AA$107</f>
        <v>0</v>
      </c>
      <c r="P107" s="45"/>
      <c r="Q107" s="45"/>
      <c r="R107" s="45"/>
      <c r="S107" s="45"/>
      <c r="T107" s="45"/>
      <c r="U107" s="45"/>
      <c r="V107" s="45"/>
      <c r="W107" s="45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1.25" customHeight="1" x14ac:dyDescent="0.2">
      <c r="A108" s="41" t="s">
        <v>21</v>
      </c>
      <c r="B108" s="41" t="s">
        <v>22</v>
      </c>
      <c r="C108" s="41" t="s">
        <v>23</v>
      </c>
      <c r="D108" s="41" t="s">
        <v>24</v>
      </c>
      <c r="E108" s="41" t="s">
        <v>24</v>
      </c>
      <c r="F108" s="41" t="s">
        <v>25</v>
      </c>
      <c r="G108" s="41" t="s">
        <v>25</v>
      </c>
      <c r="H108" s="41" t="s">
        <v>25</v>
      </c>
      <c r="I108" s="60">
        <v>44531</v>
      </c>
      <c r="J108" s="61">
        <f>EFEITO!$J$108*EFEITO!$Y$108</f>
        <v>0</v>
      </c>
      <c r="K108" s="61">
        <f ca="1">EFEITO!$L$108*EFEITO!$Z$108</f>
        <v>646586.44490381307</v>
      </c>
      <c r="L108" s="61">
        <f>EFEITO!$N$108*EFEITO!$AA$108</f>
        <v>112345.68016772583</v>
      </c>
      <c r="M108" s="61">
        <f>$J$108-EFEITO!$K$108*EFEITO!$Y$108</f>
        <v>0</v>
      </c>
      <c r="N108" s="61">
        <f ca="1">$K$108-EFEITO!$M$108*EFEITO!$Z$108</f>
        <v>0</v>
      </c>
      <c r="O108" s="61">
        <f>$L$108-EFEITO!$O$108*EFEITO!$AA$108</f>
        <v>0</v>
      </c>
      <c r="P108" s="45"/>
      <c r="Q108" s="45"/>
      <c r="R108" s="45"/>
      <c r="S108" s="45"/>
      <c r="T108" s="45"/>
      <c r="U108" s="45"/>
      <c r="V108" s="45"/>
      <c r="W108" s="45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1.25" customHeight="1" x14ac:dyDescent="0.2">
      <c r="A109" s="41" t="s">
        <v>28</v>
      </c>
      <c r="B109" s="41" t="s">
        <v>22</v>
      </c>
      <c r="C109" s="41" t="s">
        <v>23</v>
      </c>
      <c r="D109" s="41" t="s">
        <v>24</v>
      </c>
      <c r="E109" s="41" t="s">
        <v>24</v>
      </c>
      <c r="F109" s="41" t="s">
        <v>25</v>
      </c>
      <c r="G109" s="41" t="s">
        <v>25</v>
      </c>
      <c r="H109" s="41" t="s">
        <v>25</v>
      </c>
      <c r="I109" s="60">
        <v>44531</v>
      </c>
      <c r="J109" s="61">
        <f>EFEITO!$J$109*EFEITO!$Y$109</f>
        <v>0</v>
      </c>
      <c r="K109" s="61">
        <f ca="1">EFEITO!$L$109*EFEITO!$Z$109</f>
        <v>561.5306356289974</v>
      </c>
      <c r="L109" s="61">
        <f>EFEITO!$N$109*EFEITO!$AA$109</f>
        <v>97.567064221613563</v>
      </c>
      <c r="M109" s="61">
        <f>$J$109-EFEITO!$K$109*EFEITO!$Y$109</f>
        <v>0</v>
      </c>
      <c r="N109" s="61">
        <f ca="1">$K$109-EFEITO!$M$109*EFEITO!$Z$109</f>
        <v>0</v>
      </c>
      <c r="O109" s="61">
        <f>$L$109-EFEITO!$O$109*EFEITO!$AA$109</f>
        <v>0</v>
      </c>
      <c r="P109" s="45"/>
      <c r="Q109" s="45"/>
      <c r="R109" s="45"/>
      <c r="S109" s="45"/>
      <c r="T109" s="45"/>
      <c r="U109" s="45"/>
      <c r="V109" s="45"/>
      <c r="W109" s="45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1.25" customHeight="1" x14ac:dyDescent="0.2">
      <c r="A110" s="41" t="s">
        <v>21</v>
      </c>
      <c r="B110" s="41" t="s">
        <v>22</v>
      </c>
      <c r="C110" s="41" t="s">
        <v>23</v>
      </c>
      <c r="D110" s="41" t="s">
        <v>24</v>
      </c>
      <c r="E110" s="41" t="s">
        <v>24</v>
      </c>
      <c r="F110" s="41" t="s">
        <v>25</v>
      </c>
      <c r="G110" s="41" t="s">
        <v>25</v>
      </c>
      <c r="H110" s="41" t="s">
        <v>25</v>
      </c>
      <c r="I110" s="60">
        <v>44562</v>
      </c>
      <c r="J110" s="61">
        <f>EFEITO!$J$110*EFEITO!$Y$110</f>
        <v>0</v>
      </c>
      <c r="K110" s="61">
        <f ca="1">EFEITO!$L$110*EFEITO!$Z$110</f>
        <v>734449.90735677374</v>
      </c>
      <c r="L110" s="61">
        <f>EFEITO!$N$110*EFEITO!$AA$110</f>
        <v>127612.13143494618</v>
      </c>
      <c r="M110" s="61">
        <f>$J$110-EFEITO!$K$110*EFEITO!$Y$110</f>
        <v>0</v>
      </c>
      <c r="N110" s="61">
        <f ca="1">$K$110-EFEITO!$M$110*EFEITO!$Z$110</f>
        <v>0</v>
      </c>
      <c r="O110" s="61">
        <f>$L$110-EFEITO!$O$110*EFEITO!$AA$110</f>
        <v>0</v>
      </c>
      <c r="P110" s="45"/>
      <c r="Q110" s="45"/>
      <c r="R110" s="45"/>
      <c r="S110" s="45"/>
      <c r="T110" s="45"/>
      <c r="U110" s="45"/>
      <c r="V110" s="45"/>
      <c r="W110" s="45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1.25" customHeight="1" x14ac:dyDescent="0.2">
      <c r="A111" s="41" t="s">
        <v>27</v>
      </c>
      <c r="B111" s="41" t="s">
        <v>22</v>
      </c>
      <c r="C111" s="41" t="s">
        <v>23</v>
      </c>
      <c r="D111" s="41" t="s">
        <v>24</v>
      </c>
      <c r="E111" s="41" t="s">
        <v>24</v>
      </c>
      <c r="F111" s="41" t="s">
        <v>25</v>
      </c>
      <c r="G111" s="41" t="s">
        <v>25</v>
      </c>
      <c r="H111" s="41" t="s">
        <v>25</v>
      </c>
      <c r="I111" s="60">
        <v>44562</v>
      </c>
      <c r="J111" s="61">
        <f>EFEITO!$J$111*EFEITO!$Y$111</f>
        <v>0</v>
      </c>
      <c r="K111" s="61">
        <f ca="1">EFEITO!$L$111*EFEITO!$Z$111</f>
        <v>-535.39734829065503</v>
      </c>
      <c r="L111" s="61">
        <f>EFEITO!$N$111*EFEITO!$AA$111</f>
        <v>-93.026353595548031</v>
      </c>
      <c r="M111" s="61">
        <f>$J$111-EFEITO!$K$111*EFEITO!$Y$111</f>
        <v>0</v>
      </c>
      <c r="N111" s="61">
        <f ca="1">$K$111-EFEITO!$M$111*EFEITO!$Z$111</f>
        <v>0</v>
      </c>
      <c r="O111" s="61">
        <f>$L$111-EFEITO!$O$111*EFEITO!$AA$111</f>
        <v>0</v>
      </c>
      <c r="P111" s="45"/>
      <c r="Q111" s="45"/>
      <c r="R111" s="45"/>
      <c r="S111" s="45"/>
      <c r="T111" s="45"/>
      <c r="U111" s="45"/>
      <c r="V111" s="45"/>
      <c r="W111" s="45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1.25" customHeight="1" x14ac:dyDescent="0.2">
      <c r="A112" s="41" t="s">
        <v>28</v>
      </c>
      <c r="B112" s="41" t="s">
        <v>22</v>
      </c>
      <c r="C112" s="41" t="s">
        <v>23</v>
      </c>
      <c r="D112" s="41" t="s">
        <v>24</v>
      </c>
      <c r="E112" s="41" t="s">
        <v>24</v>
      </c>
      <c r="F112" s="41" t="s">
        <v>25</v>
      </c>
      <c r="G112" s="41" t="s">
        <v>25</v>
      </c>
      <c r="H112" s="41" t="s">
        <v>25</v>
      </c>
      <c r="I112" s="60">
        <v>44562</v>
      </c>
      <c r="J112" s="61">
        <f>EFEITO!$J$112*EFEITO!$Y$112</f>
        <v>0</v>
      </c>
      <c r="K112" s="61">
        <f ca="1">EFEITO!$L$112*EFEITO!$Z$112</f>
        <v>679.4654707969014</v>
      </c>
      <c r="L112" s="61">
        <f>EFEITO!$N$112*EFEITO!$AA$112</f>
        <v>118.05847627770426</v>
      </c>
      <c r="M112" s="61">
        <f>$J$112-EFEITO!$K$112*EFEITO!$Y$112</f>
        <v>0</v>
      </c>
      <c r="N112" s="61">
        <f ca="1">$K$112-EFEITO!$M$112*EFEITO!$Z$112</f>
        <v>0</v>
      </c>
      <c r="O112" s="61">
        <f>$L$112-EFEITO!$O$112*EFEITO!$AA$112</f>
        <v>0</v>
      </c>
      <c r="P112" s="45"/>
      <c r="Q112" s="45"/>
      <c r="R112" s="45"/>
      <c r="S112" s="45"/>
      <c r="T112" s="45"/>
      <c r="U112" s="45"/>
      <c r="V112" s="45"/>
      <c r="W112" s="45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1.25" customHeight="1" x14ac:dyDescent="0.2">
      <c r="A113" s="41" t="s">
        <v>21</v>
      </c>
      <c r="B113" s="41" t="s">
        <v>22</v>
      </c>
      <c r="C113" s="41" t="s">
        <v>23</v>
      </c>
      <c r="D113" s="41" t="s">
        <v>24</v>
      </c>
      <c r="E113" s="41" t="s">
        <v>24</v>
      </c>
      <c r="F113" s="41" t="s">
        <v>25</v>
      </c>
      <c r="G113" s="41" t="s">
        <v>25</v>
      </c>
      <c r="H113" s="41" t="s">
        <v>25</v>
      </c>
      <c r="I113" s="60">
        <v>44593</v>
      </c>
      <c r="J113" s="61">
        <f>EFEITO!$J$113*EFEITO!$Y$113</f>
        <v>0</v>
      </c>
      <c r="K113" s="61">
        <f ca="1">EFEITO!$L$113*EFEITO!$Z$113</f>
        <v>663433.03405697364</v>
      </c>
      <c r="L113" s="61">
        <f>EFEITO!$N$113*EFEITO!$AA$113</f>
        <v>115272.80852285183</v>
      </c>
      <c r="M113" s="61">
        <f>$J$113-EFEITO!$K$113*EFEITO!$Y$113</f>
        <v>0</v>
      </c>
      <c r="N113" s="61">
        <f ca="1">$K$113-EFEITO!$M$113*EFEITO!$Z$113</f>
        <v>0</v>
      </c>
      <c r="O113" s="61">
        <f>$L$113-EFEITO!$O$113*EFEITO!$AA$113</f>
        <v>0</v>
      </c>
      <c r="P113" s="45"/>
      <c r="Q113" s="45"/>
      <c r="R113" s="45"/>
      <c r="S113" s="45"/>
      <c r="T113" s="45"/>
      <c r="U113" s="45"/>
      <c r="V113" s="45"/>
      <c r="W113" s="45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1.25" customHeight="1" x14ac:dyDescent="0.2">
      <c r="A114" s="41" t="s">
        <v>27</v>
      </c>
      <c r="B114" s="41" t="s">
        <v>22</v>
      </c>
      <c r="C114" s="41" t="s">
        <v>23</v>
      </c>
      <c r="D114" s="41" t="s">
        <v>24</v>
      </c>
      <c r="E114" s="41" t="s">
        <v>24</v>
      </c>
      <c r="F114" s="41" t="s">
        <v>25</v>
      </c>
      <c r="G114" s="41" t="s">
        <v>25</v>
      </c>
      <c r="H114" s="41" t="s">
        <v>25</v>
      </c>
      <c r="I114" s="60">
        <v>44593</v>
      </c>
      <c r="J114" s="61">
        <f>EFEITO!$J$114*EFEITO!$Y$114</f>
        <v>0</v>
      </c>
      <c r="K114" s="61">
        <f ca="1">EFEITO!$L$114*EFEITO!$Z$114</f>
        <v>-73.039187689213264</v>
      </c>
      <c r="L114" s="61">
        <f>EFEITO!$N$114*EFEITO!$AA$114</f>
        <v>-12.690704057465251</v>
      </c>
      <c r="M114" s="61">
        <f>$J$114-EFEITO!$K$114*EFEITO!$Y$114</f>
        <v>0</v>
      </c>
      <c r="N114" s="61">
        <f ca="1">$K$114-EFEITO!$M$114*EFEITO!$Z$114</f>
        <v>0</v>
      </c>
      <c r="O114" s="61">
        <f>$L$114-EFEITO!$O$114*EFEITO!$AA$114</f>
        <v>0</v>
      </c>
      <c r="P114" s="45"/>
      <c r="Q114" s="45"/>
      <c r="R114" s="45"/>
      <c r="S114" s="45"/>
      <c r="T114" s="45"/>
      <c r="U114" s="45"/>
      <c r="V114" s="45"/>
      <c r="W114" s="45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1.25" customHeight="1" x14ac:dyDescent="0.2">
      <c r="A115" s="41" t="s">
        <v>28</v>
      </c>
      <c r="B115" s="41" t="s">
        <v>22</v>
      </c>
      <c r="C115" s="41" t="s">
        <v>23</v>
      </c>
      <c r="D115" s="41" t="s">
        <v>24</v>
      </c>
      <c r="E115" s="41" t="s">
        <v>24</v>
      </c>
      <c r="F115" s="41" t="s">
        <v>25</v>
      </c>
      <c r="G115" s="41" t="s">
        <v>25</v>
      </c>
      <c r="H115" s="41" t="s">
        <v>25</v>
      </c>
      <c r="I115" s="60">
        <v>44593</v>
      </c>
      <c r="J115" s="61">
        <f>EFEITO!$J$115*EFEITO!$Y$115</f>
        <v>0</v>
      </c>
      <c r="K115" s="61">
        <f ca="1">EFEITO!$L$115*EFEITO!$Z$115</f>
        <v>884.51126375927993</v>
      </c>
      <c r="L115" s="61">
        <f>EFEITO!$N$115*EFEITO!$AA$115</f>
        <v>153.68559042068009</v>
      </c>
      <c r="M115" s="61">
        <f>$J$115-EFEITO!$K$115*EFEITO!$Y$115</f>
        <v>0</v>
      </c>
      <c r="N115" s="61">
        <f ca="1">$K$115-EFEITO!$M$115*EFEITO!$Z$115</f>
        <v>0</v>
      </c>
      <c r="O115" s="61">
        <f>$L$115-EFEITO!$O$115*EFEITO!$AA$115</f>
        <v>0</v>
      </c>
      <c r="P115" s="45"/>
      <c r="Q115" s="45"/>
      <c r="R115" s="45"/>
      <c r="S115" s="45"/>
      <c r="T115" s="45"/>
      <c r="U115" s="45"/>
      <c r="V115" s="45"/>
      <c r="W115" s="45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1.25" customHeight="1" x14ac:dyDescent="0.2">
      <c r="A116" s="41" t="s">
        <v>21</v>
      </c>
      <c r="B116" s="41" t="s">
        <v>22</v>
      </c>
      <c r="C116" s="41" t="s">
        <v>23</v>
      </c>
      <c r="D116" s="41" t="s">
        <v>24</v>
      </c>
      <c r="E116" s="41" t="s">
        <v>24</v>
      </c>
      <c r="F116" s="41" t="s">
        <v>25</v>
      </c>
      <c r="G116" s="41" t="s">
        <v>25</v>
      </c>
      <c r="H116" s="41" t="s">
        <v>25</v>
      </c>
      <c r="I116" s="60">
        <v>44621</v>
      </c>
      <c r="J116" s="61">
        <f>EFEITO!$J$116*EFEITO!$Y$116</f>
        <v>0</v>
      </c>
      <c r="K116" s="61">
        <f ca="1">EFEITO!$L$116*EFEITO!$Z$116</f>
        <v>615579.63451901521</v>
      </c>
      <c r="L116" s="61">
        <f>EFEITO!$N$116*EFEITO!$AA$116</f>
        <v>106958.18522413785</v>
      </c>
      <c r="M116" s="61">
        <f>$J$116-EFEITO!$K$116*EFEITO!$Y$116</f>
        <v>0</v>
      </c>
      <c r="N116" s="61">
        <f ca="1">$K$116-EFEITO!$M$116*EFEITO!$Z$116</f>
        <v>0</v>
      </c>
      <c r="O116" s="61">
        <f>$L$116-EFEITO!$O$116*EFEITO!$AA$116</f>
        <v>0</v>
      </c>
      <c r="P116" s="45"/>
      <c r="Q116" s="45"/>
      <c r="R116" s="45"/>
      <c r="S116" s="45"/>
      <c r="T116" s="45"/>
      <c r="U116" s="45"/>
      <c r="V116" s="45"/>
      <c r="W116" s="45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1.25" customHeight="1" x14ac:dyDescent="0.2">
      <c r="A117" s="41" t="s">
        <v>27</v>
      </c>
      <c r="B117" s="41" t="s">
        <v>22</v>
      </c>
      <c r="C117" s="41" t="s">
        <v>23</v>
      </c>
      <c r="D117" s="41" t="s">
        <v>24</v>
      </c>
      <c r="E117" s="41" t="s">
        <v>24</v>
      </c>
      <c r="F117" s="41" t="s">
        <v>25</v>
      </c>
      <c r="G117" s="41" t="s">
        <v>25</v>
      </c>
      <c r="H117" s="41" t="s">
        <v>25</v>
      </c>
      <c r="I117" s="60">
        <v>44621</v>
      </c>
      <c r="J117" s="61">
        <f>EFEITO!$J$117*EFEITO!$Y$117</f>
        <v>0</v>
      </c>
      <c r="K117" s="61">
        <f ca="1">EFEITO!$L$117*EFEITO!$Z$117</f>
        <v>-105.87331793482289</v>
      </c>
      <c r="L117" s="61">
        <f>EFEITO!$N$117*EFEITO!$AA$117</f>
        <v>-18.395699459445041</v>
      </c>
      <c r="M117" s="61">
        <f>$J$117-EFEITO!$K$117*EFEITO!$Y$117</f>
        <v>0</v>
      </c>
      <c r="N117" s="61">
        <f ca="1">$K$117-EFEITO!$M$117*EFEITO!$Z$117</f>
        <v>0</v>
      </c>
      <c r="O117" s="61">
        <f>$L$117-EFEITO!$O$117*EFEITO!$AA$117</f>
        <v>0</v>
      </c>
      <c r="P117" s="45"/>
      <c r="Q117" s="45"/>
      <c r="R117" s="45"/>
      <c r="S117" s="45"/>
      <c r="T117" s="45"/>
      <c r="U117" s="45"/>
      <c r="V117" s="45"/>
      <c r="W117" s="45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1.25" customHeight="1" x14ac:dyDescent="0.2">
      <c r="A118" s="41" t="s">
        <v>28</v>
      </c>
      <c r="B118" s="41" t="s">
        <v>22</v>
      </c>
      <c r="C118" s="41" t="s">
        <v>23</v>
      </c>
      <c r="D118" s="41" t="s">
        <v>24</v>
      </c>
      <c r="E118" s="41" t="s">
        <v>24</v>
      </c>
      <c r="F118" s="41" t="s">
        <v>25</v>
      </c>
      <c r="G118" s="41" t="s">
        <v>25</v>
      </c>
      <c r="H118" s="41" t="s">
        <v>25</v>
      </c>
      <c r="I118" s="60">
        <v>44621</v>
      </c>
      <c r="J118" s="61">
        <f>EFEITO!$J$118*EFEITO!$Y$118</f>
        <v>0</v>
      </c>
      <c r="K118" s="61">
        <f ca="1">EFEITO!$L$118*EFEITO!$Z$118</f>
        <v>874.45999939837895</v>
      </c>
      <c r="L118" s="61">
        <f>EFEITO!$N$118*EFEITO!$AA$118</f>
        <v>151.93916325680871</v>
      </c>
      <c r="M118" s="61">
        <f>$J$118-EFEITO!$K$118*EFEITO!$Y$118</f>
        <v>0</v>
      </c>
      <c r="N118" s="61">
        <f ca="1">$K$118-EFEITO!$M$118*EFEITO!$Z$118</f>
        <v>0</v>
      </c>
      <c r="O118" s="61">
        <f>$L$118-EFEITO!$O$118*EFEITO!$AA$118</f>
        <v>0</v>
      </c>
      <c r="P118" s="45"/>
      <c r="Q118" s="45"/>
      <c r="R118" s="45"/>
      <c r="S118" s="45"/>
      <c r="T118" s="45"/>
      <c r="U118" s="45"/>
      <c r="V118" s="45"/>
      <c r="W118" s="45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1.25" customHeight="1" x14ac:dyDescent="0.2">
      <c r="A119" s="41" t="s">
        <v>21</v>
      </c>
      <c r="B119" s="41" t="s">
        <v>22</v>
      </c>
      <c r="C119" s="41" t="s">
        <v>23</v>
      </c>
      <c r="D119" s="41" t="s">
        <v>24</v>
      </c>
      <c r="E119" s="41" t="s">
        <v>24</v>
      </c>
      <c r="F119" s="41" t="s">
        <v>25</v>
      </c>
      <c r="G119" s="41" t="s">
        <v>25</v>
      </c>
      <c r="H119" s="41" t="s">
        <v>25</v>
      </c>
      <c r="I119" s="60">
        <v>44652</v>
      </c>
      <c r="J119" s="61">
        <f>EFEITO!$J$119*EFEITO!$Y$119</f>
        <v>0</v>
      </c>
      <c r="K119" s="61">
        <f ca="1">EFEITO!$L$119*EFEITO!$Z$119</f>
        <v>631649.59597922361</v>
      </c>
      <c r="L119" s="61">
        <f>EFEITO!$N$119*EFEITO!$AA$119</f>
        <v>109750.3729737354</v>
      </c>
      <c r="M119" s="61">
        <f>$J$119-EFEITO!$K$119*EFEITO!$Y$119</f>
        <v>0</v>
      </c>
      <c r="N119" s="61">
        <f ca="1">$K$119-EFEITO!$M$119*EFEITO!$Z$119</f>
        <v>0</v>
      </c>
      <c r="O119" s="61">
        <f>$L$119-EFEITO!$O$119*EFEITO!$AA$119</f>
        <v>0</v>
      </c>
      <c r="P119" s="45"/>
      <c r="Q119" s="45"/>
      <c r="R119" s="45"/>
      <c r="S119" s="45"/>
      <c r="T119" s="45"/>
      <c r="U119" s="45"/>
      <c r="V119" s="45"/>
      <c r="W119" s="45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1.25" customHeight="1" x14ac:dyDescent="0.2">
      <c r="A120" s="41" t="s">
        <v>27</v>
      </c>
      <c r="B120" s="41" t="s">
        <v>22</v>
      </c>
      <c r="C120" s="41" t="s">
        <v>23</v>
      </c>
      <c r="D120" s="41" t="s">
        <v>24</v>
      </c>
      <c r="E120" s="41" t="s">
        <v>24</v>
      </c>
      <c r="F120" s="41" t="s">
        <v>25</v>
      </c>
      <c r="G120" s="41" t="s">
        <v>25</v>
      </c>
      <c r="H120" s="41" t="s">
        <v>25</v>
      </c>
      <c r="I120" s="60">
        <v>44652</v>
      </c>
      <c r="J120" s="61">
        <f>EFEITO!$J$120*EFEITO!$Y$120</f>
        <v>0</v>
      </c>
      <c r="K120" s="61">
        <f ca="1">EFEITO!$L$120*EFEITO!$Z$120</f>
        <v>-148.75871254133344</v>
      </c>
      <c r="L120" s="61">
        <f>EFEITO!$N$120*EFEITO!$AA$120</f>
        <v>-25.847122025296198</v>
      </c>
      <c r="M120" s="61">
        <f>$J$120-EFEITO!$K$120*EFEITO!$Y$120</f>
        <v>0</v>
      </c>
      <c r="N120" s="61">
        <f ca="1">$K$120-EFEITO!$M$120*EFEITO!$Z$120</f>
        <v>0</v>
      </c>
      <c r="O120" s="61">
        <f>$L$120-EFEITO!$O$120*EFEITO!$AA$120</f>
        <v>0</v>
      </c>
      <c r="P120" s="45"/>
      <c r="Q120" s="45"/>
      <c r="R120" s="45"/>
      <c r="S120" s="45"/>
      <c r="T120" s="45"/>
      <c r="U120" s="45"/>
      <c r="V120" s="45"/>
      <c r="W120" s="45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1.25" customHeight="1" x14ac:dyDescent="0.2">
      <c r="A121" s="41" t="s">
        <v>28</v>
      </c>
      <c r="B121" s="41" t="s">
        <v>22</v>
      </c>
      <c r="C121" s="41" t="s">
        <v>23</v>
      </c>
      <c r="D121" s="41" t="s">
        <v>24</v>
      </c>
      <c r="E121" s="41" t="s">
        <v>24</v>
      </c>
      <c r="F121" s="41" t="s">
        <v>25</v>
      </c>
      <c r="G121" s="41" t="s">
        <v>25</v>
      </c>
      <c r="H121" s="41" t="s">
        <v>25</v>
      </c>
      <c r="I121" s="60">
        <v>44652</v>
      </c>
      <c r="J121" s="61">
        <f>EFEITO!$J$121*EFEITO!$Y$121</f>
        <v>0</v>
      </c>
      <c r="K121" s="61">
        <f ca="1">EFEITO!$L$121*EFEITO!$Z$121</f>
        <v>1052.7024207316883</v>
      </c>
      <c r="L121" s="61">
        <f>EFEITO!$N$121*EFEITO!$AA$121</f>
        <v>182.90913829612759</v>
      </c>
      <c r="M121" s="61">
        <f>$J$121-EFEITO!$K$121*EFEITO!$Y$121</f>
        <v>0</v>
      </c>
      <c r="N121" s="61">
        <f ca="1">$K$121-EFEITO!$M$121*EFEITO!$Z$121</f>
        <v>0</v>
      </c>
      <c r="O121" s="61">
        <f>$L$121-EFEITO!$O$121*EFEITO!$AA$121</f>
        <v>0</v>
      </c>
      <c r="P121" s="45"/>
      <c r="Q121" s="45"/>
      <c r="R121" s="45"/>
      <c r="S121" s="45"/>
      <c r="T121" s="45"/>
      <c r="U121" s="45"/>
      <c r="V121" s="45"/>
      <c r="W121" s="45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">
      <c r="A122" s="41" t="s">
        <v>21</v>
      </c>
      <c r="B122" s="41" t="s">
        <v>22</v>
      </c>
      <c r="C122" s="41" t="s">
        <v>23</v>
      </c>
      <c r="D122" s="41" t="s">
        <v>24</v>
      </c>
      <c r="E122" s="41" t="s">
        <v>24</v>
      </c>
      <c r="F122" s="41" t="s">
        <v>25</v>
      </c>
      <c r="G122" s="41" t="s">
        <v>25</v>
      </c>
      <c r="H122" s="41" t="s">
        <v>25</v>
      </c>
      <c r="I122" s="60">
        <v>44682</v>
      </c>
      <c r="J122" s="61">
        <f>EFEITO!$J$122*EFEITO!$Y$122</f>
        <v>0</v>
      </c>
      <c r="K122" s="61">
        <f ca="1">EFEITO!$L$122*EFEITO!$Z$122</f>
        <v>578814.78982400254</v>
      </c>
      <c r="L122" s="61">
        <f>EFEITO!$N$122*EFEITO!$AA$122</f>
        <v>100570.22037260677</v>
      </c>
      <c r="M122" s="61">
        <f>$J$122-EFEITO!$K$122*EFEITO!$Y$122</f>
        <v>0</v>
      </c>
      <c r="N122" s="61">
        <f ca="1">$K$122-EFEITO!$M$122*EFEITO!$Z$122</f>
        <v>0</v>
      </c>
      <c r="O122" s="61">
        <f>$L$122-EFEITO!$O$122*EFEITO!$AA$122</f>
        <v>0</v>
      </c>
      <c r="P122" s="45"/>
      <c r="Q122" s="45"/>
      <c r="R122" s="45"/>
      <c r="S122" s="45"/>
      <c r="T122" s="45"/>
      <c r="U122" s="45"/>
      <c r="V122" s="45"/>
      <c r="W122" s="45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1.25" customHeight="1" x14ac:dyDescent="0.2">
      <c r="A123" s="41" t="s">
        <v>27</v>
      </c>
      <c r="B123" s="41" t="s">
        <v>22</v>
      </c>
      <c r="C123" s="41" t="s">
        <v>23</v>
      </c>
      <c r="D123" s="41" t="s">
        <v>24</v>
      </c>
      <c r="E123" s="41" t="s">
        <v>24</v>
      </c>
      <c r="F123" s="41" t="s">
        <v>25</v>
      </c>
      <c r="G123" s="41" t="s">
        <v>25</v>
      </c>
      <c r="H123" s="41" t="s">
        <v>25</v>
      </c>
      <c r="I123" s="60">
        <v>44682</v>
      </c>
      <c r="J123" s="61">
        <f>EFEITO!$J$123*EFEITO!$Y$123</f>
        <v>0</v>
      </c>
      <c r="K123" s="61">
        <f ca="1">EFEITO!$L$123*EFEITO!$Z$123</f>
        <v>19.432444431075091</v>
      </c>
      <c r="L123" s="61">
        <f>EFEITO!$N$123*EFEITO!$AA$123</f>
        <v>3.3764258501513051</v>
      </c>
      <c r="M123" s="61">
        <f>$J$123-EFEITO!$K$123*EFEITO!$Y$123</f>
        <v>0</v>
      </c>
      <c r="N123" s="61">
        <f ca="1">$K$123-EFEITO!$M$123*EFEITO!$Z$123</f>
        <v>0</v>
      </c>
      <c r="O123" s="61">
        <f>$L$123-EFEITO!$O$123*EFEITO!$AA$123</f>
        <v>0</v>
      </c>
      <c r="P123" s="45"/>
      <c r="Q123" s="45"/>
      <c r="R123" s="45"/>
      <c r="S123" s="45"/>
      <c r="T123" s="45"/>
      <c r="U123" s="45"/>
      <c r="V123" s="45"/>
      <c r="W123" s="45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1.25" customHeight="1" x14ac:dyDescent="0.2">
      <c r="A124" s="41" t="s">
        <v>28</v>
      </c>
      <c r="B124" s="41" t="s">
        <v>22</v>
      </c>
      <c r="C124" s="41" t="s">
        <v>23</v>
      </c>
      <c r="D124" s="41" t="s">
        <v>24</v>
      </c>
      <c r="E124" s="41" t="s">
        <v>24</v>
      </c>
      <c r="F124" s="41" t="s">
        <v>25</v>
      </c>
      <c r="G124" s="41" t="s">
        <v>25</v>
      </c>
      <c r="H124" s="41" t="s">
        <v>25</v>
      </c>
      <c r="I124" s="60">
        <v>44682</v>
      </c>
      <c r="J124" s="61">
        <f>EFEITO!$J$124*EFEITO!$Y$124</f>
        <v>0</v>
      </c>
      <c r="K124" s="61">
        <f ca="1">EFEITO!$L$124*EFEITO!$Z$124</f>
        <v>1413.8778534333944</v>
      </c>
      <c r="L124" s="61">
        <f>EFEITO!$N$124*EFEITO!$AA$124</f>
        <v>245.66408771790529</v>
      </c>
      <c r="M124" s="61">
        <f>$J$124-EFEITO!$K$124*EFEITO!$Y$124</f>
        <v>0</v>
      </c>
      <c r="N124" s="61">
        <f ca="1">$K$124-EFEITO!$M$124*EFEITO!$Z$124</f>
        <v>0</v>
      </c>
      <c r="O124" s="61">
        <f>$L$124-EFEITO!$O$124*EFEITO!$AA$124</f>
        <v>0</v>
      </c>
      <c r="P124" s="45"/>
      <c r="Q124" s="45"/>
      <c r="R124" s="45"/>
      <c r="S124" s="45"/>
      <c r="T124" s="45"/>
      <c r="U124" s="45"/>
      <c r="V124" s="45"/>
      <c r="W124" s="45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1.25" customHeight="1" x14ac:dyDescent="0.2">
      <c r="A125" s="41" t="s">
        <v>21</v>
      </c>
      <c r="B125" s="41" t="s">
        <v>22</v>
      </c>
      <c r="C125" s="41" t="s">
        <v>23</v>
      </c>
      <c r="D125" s="41" t="s">
        <v>24</v>
      </c>
      <c r="E125" s="41" t="s">
        <v>24</v>
      </c>
      <c r="F125" s="41" t="s">
        <v>25</v>
      </c>
      <c r="G125" s="41" t="s">
        <v>25</v>
      </c>
      <c r="H125" s="41" t="s">
        <v>25</v>
      </c>
      <c r="I125" s="60">
        <v>44713</v>
      </c>
      <c r="J125" s="61">
        <f>EFEITO!$J$125*EFEITO!$Y$125</f>
        <v>0</v>
      </c>
      <c r="K125" s="61">
        <f ca="1">EFEITO!$L$125*EFEITO!$Z$125</f>
        <v>617117.47796623304</v>
      </c>
      <c r="L125" s="61">
        <f>EFEITO!$N$125*EFEITO!$AA$125</f>
        <v>107225.38858021019</v>
      </c>
      <c r="M125" s="61">
        <f>$J$125-EFEITO!$K$125*EFEITO!$Y$125</f>
        <v>0</v>
      </c>
      <c r="N125" s="61">
        <f ca="1">$K$125-EFEITO!$M$125*EFEITO!$Z$125</f>
        <v>0</v>
      </c>
      <c r="O125" s="61">
        <f>$L$125-EFEITO!$O$125*EFEITO!$AA$125</f>
        <v>0</v>
      </c>
      <c r="P125" s="45"/>
      <c r="Q125" s="45"/>
      <c r="R125" s="45"/>
      <c r="S125" s="45"/>
      <c r="T125" s="45"/>
      <c r="U125" s="45"/>
      <c r="V125" s="45"/>
      <c r="W125" s="45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1.25" customHeight="1" x14ac:dyDescent="0.2">
      <c r="A126" s="41" t="s">
        <v>28</v>
      </c>
      <c r="B126" s="41" t="s">
        <v>22</v>
      </c>
      <c r="C126" s="41" t="s">
        <v>23</v>
      </c>
      <c r="D126" s="41" t="s">
        <v>24</v>
      </c>
      <c r="E126" s="41" t="s">
        <v>24</v>
      </c>
      <c r="F126" s="41" t="s">
        <v>25</v>
      </c>
      <c r="G126" s="41" t="s">
        <v>25</v>
      </c>
      <c r="H126" s="41" t="s">
        <v>25</v>
      </c>
      <c r="I126" s="60">
        <v>44713</v>
      </c>
      <c r="J126" s="61">
        <f>EFEITO!$J$126*EFEITO!$Y$126</f>
        <v>0</v>
      </c>
      <c r="K126" s="61">
        <f ca="1">EFEITO!$L$126*EFEITO!$Z$126</f>
        <v>1536.5032786363856</v>
      </c>
      <c r="L126" s="61">
        <f>EFEITO!$N$126*EFEITO!$AA$126</f>
        <v>266.97049911713594</v>
      </c>
      <c r="M126" s="61">
        <f>$J$126-EFEITO!$K$126*EFEITO!$Y$126</f>
        <v>0</v>
      </c>
      <c r="N126" s="61">
        <f ca="1">$K$126-EFEITO!$M$126*EFEITO!$Z$126</f>
        <v>0</v>
      </c>
      <c r="O126" s="61">
        <f>$L$126-EFEITO!$O$126*EFEITO!$AA$126</f>
        <v>0</v>
      </c>
      <c r="P126" s="45"/>
      <c r="Q126" s="45"/>
      <c r="R126" s="45"/>
      <c r="S126" s="45"/>
      <c r="T126" s="45"/>
      <c r="U126" s="45"/>
      <c r="V126" s="45"/>
      <c r="W126" s="45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1.25" customHeight="1" x14ac:dyDescent="0.2">
      <c r="A127" s="41" t="s">
        <v>21</v>
      </c>
      <c r="B127" s="41" t="s">
        <v>22</v>
      </c>
      <c r="C127" s="41" t="s">
        <v>23</v>
      </c>
      <c r="D127" s="41" t="s">
        <v>24</v>
      </c>
      <c r="E127" s="41" t="s">
        <v>29</v>
      </c>
      <c r="F127" s="41" t="s">
        <v>25</v>
      </c>
      <c r="G127" s="41" t="s">
        <v>25</v>
      </c>
      <c r="H127" s="41" t="s">
        <v>25</v>
      </c>
      <c r="I127" s="60">
        <v>44378</v>
      </c>
      <c r="J127" s="61">
        <f>EFEITO!$J$127*EFEITO!$Y$94</f>
        <v>0</v>
      </c>
      <c r="K127" s="61">
        <f ca="1">EFEITO!$L$127*EFEITO!$Z$164</f>
        <v>2112.8095916979714</v>
      </c>
      <c r="L127" s="61">
        <f>EFEITO!$N$127*EFEITO!$AA$164</f>
        <v>436.60679096784116</v>
      </c>
      <c r="M127" s="61">
        <f>$J$127-EFEITO!$K$127*EFEITO!$Y$127</f>
        <v>0</v>
      </c>
      <c r="N127" s="61">
        <f ca="1">$K$127-EFEITO!$M$127*EFEITO!$Z$127</f>
        <v>1373.3262346036813</v>
      </c>
      <c r="O127" s="61">
        <f>$L$127-EFEITO!$O$127*EFEITO!$AA$127</f>
        <v>283.79441412909677</v>
      </c>
      <c r="P127" s="45"/>
      <c r="Q127" s="45"/>
      <c r="R127" s="45"/>
      <c r="S127" s="45"/>
      <c r="T127" s="45"/>
      <c r="U127" s="45"/>
      <c r="V127" s="45"/>
      <c r="W127" s="45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1.25" customHeight="1" x14ac:dyDescent="0.2">
      <c r="A128" s="41" t="s">
        <v>21</v>
      </c>
      <c r="B128" s="41" t="s">
        <v>22</v>
      </c>
      <c r="C128" s="41" t="s">
        <v>23</v>
      </c>
      <c r="D128" s="41" t="s">
        <v>24</v>
      </c>
      <c r="E128" s="41" t="s">
        <v>29</v>
      </c>
      <c r="F128" s="41" t="s">
        <v>25</v>
      </c>
      <c r="G128" s="41" t="s">
        <v>25</v>
      </c>
      <c r="H128" s="41" t="s">
        <v>25</v>
      </c>
      <c r="I128" s="60">
        <v>44409</v>
      </c>
      <c r="J128" s="61">
        <f>EFEITO!$J$128*EFEITO!$Y$94</f>
        <v>0</v>
      </c>
      <c r="K128" s="61">
        <f ca="1">EFEITO!$L$128*EFEITO!$Z$164</f>
        <v>2197.32197536589</v>
      </c>
      <c r="L128" s="61">
        <f>EFEITO!$N$128*EFEITO!$AA$164</f>
        <v>454.07106260655479</v>
      </c>
      <c r="M128" s="61">
        <f>$J$128-EFEITO!$K$128*EFEITO!$Y$128</f>
        <v>0</v>
      </c>
      <c r="N128" s="61">
        <f ca="1">$K$128-EFEITO!$M$128*EFEITO!$Z$128</f>
        <v>1428.2592839878284</v>
      </c>
      <c r="O128" s="61">
        <f>$L$128-EFEITO!$O$128*EFEITO!$AA$128</f>
        <v>295.14619069426061</v>
      </c>
      <c r="P128" s="45"/>
      <c r="Q128" s="45"/>
      <c r="R128" s="45"/>
      <c r="S128" s="45"/>
      <c r="T128" s="45"/>
      <c r="U128" s="45"/>
      <c r="V128" s="45"/>
      <c r="W128" s="4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1.25" customHeight="1" x14ac:dyDescent="0.2">
      <c r="A129" s="41" t="s">
        <v>21</v>
      </c>
      <c r="B129" s="41" t="s">
        <v>22</v>
      </c>
      <c r="C129" s="41" t="s">
        <v>23</v>
      </c>
      <c r="D129" s="41" t="s">
        <v>24</v>
      </c>
      <c r="E129" s="41" t="s">
        <v>29</v>
      </c>
      <c r="F129" s="41" t="s">
        <v>25</v>
      </c>
      <c r="G129" s="41" t="s">
        <v>25</v>
      </c>
      <c r="H129" s="41" t="s">
        <v>25</v>
      </c>
      <c r="I129" s="60">
        <v>44440</v>
      </c>
      <c r="J129" s="61">
        <f>EFEITO!$J$129*EFEITO!$Y$94</f>
        <v>0</v>
      </c>
      <c r="K129" s="61">
        <f ca="1">EFEITO!$L$129*EFEITO!$Z$164</f>
        <v>2129.7120684315551</v>
      </c>
      <c r="L129" s="61">
        <f>EFEITO!$N$129*EFEITO!$AA$164</f>
        <v>440.09964529558385</v>
      </c>
      <c r="M129" s="61">
        <f>$J$129-EFEITO!$K$129*EFEITO!$Y$129</f>
        <v>0</v>
      </c>
      <c r="N129" s="61">
        <f ca="1">$K$129-EFEITO!$M$129*EFEITO!$Z$129</f>
        <v>1384.3128444805106</v>
      </c>
      <c r="O129" s="61">
        <f>$L$129-EFEITO!$O$129*EFEITO!$AA$129</f>
        <v>286.06476944212949</v>
      </c>
      <c r="P129" s="45"/>
      <c r="Q129" s="45"/>
      <c r="R129" s="45"/>
      <c r="S129" s="45"/>
      <c r="T129" s="45"/>
      <c r="U129" s="45"/>
      <c r="V129" s="45"/>
      <c r="W129" s="45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1.25" customHeight="1" x14ac:dyDescent="0.2">
      <c r="A130" s="41" t="s">
        <v>21</v>
      </c>
      <c r="B130" s="41" t="s">
        <v>22</v>
      </c>
      <c r="C130" s="41" t="s">
        <v>23</v>
      </c>
      <c r="D130" s="41" t="s">
        <v>24</v>
      </c>
      <c r="E130" s="41" t="s">
        <v>29</v>
      </c>
      <c r="F130" s="41" t="s">
        <v>25</v>
      </c>
      <c r="G130" s="41" t="s">
        <v>25</v>
      </c>
      <c r="H130" s="41" t="s">
        <v>25</v>
      </c>
      <c r="I130" s="60">
        <v>44470</v>
      </c>
      <c r="J130" s="61">
        <f>EFEITO!$J$130*EFEITO!$Y$94</f>
        <v>0</v>
      </c>
      <c r="K130" s="61">
        <f ca="1">EFEITO!$L$130*EFEITO!$Z$164</f>
        <v>2264.931882300225</v>
      </c>
      <c r="L130" s="61">
        <f>EFEITO!$N$130*EFEITO!$AA$164</f>
        <v>468.04247991752567</v>
      </c>
      <c r="M130" s="61">
        <f>$J$130-EFEITO!$K$130*EFEITO!$Y$130</f>
        <v>0</v>
      </c>
      <c r="N130" s="61">
        <f ca="1">$K$130-EFEITO!$M$130*EFEITO!$Z$130</f>
        <v>1472.2057234951462</v>
      </c>
      <c r="O130" s="61">
        <f>$L$130-EFEITO!$O$130*EFEITO!$AA$130</f>
        <v>304.22761194639168</v>
      </c>
      <c r="P130" s="45"/>
      <c r="Q130" s="45"/>
      <c r="R130" s="45"/>
      <c r="S130" s="45"/>
      <c r="T130" s="45"/>
      <c r="U130" s="45"/>
      <c r="V130" s="45"/>
      <c r="W130" s="45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1.25" customHeight="1" x14ac:dyDescent="0.2">
      <c r="A131" s="41" t="s">
        <v>21</v>
      </c>
      <c r="B131" s="41" t="s">
        <v>22</v>
      </c>
      <c r="C131" s="41" t="s">
        <v>23</v>
      </c>
      <c r="D131" s="41" t="s">
        <v>24</v>
      </c>
      <c r="E131" s="41" t="s">
        <v>29</v>
      </c>
      <c r="F131" s="41" t="s">
        <v>25</v>
      </c>
      <c r="G131" s="41" t="s">
        <v>25</v>
      </c>
      <c r="H131" s="41" t="s">
        <v>25</v>
      </c>
      <c r="I131" s="60">
        <v>44501</v>
      </c>
      <c r="J131" s="61">
        <f>EFEITO!$J$131*EFEITO!$Y$94</f>
        <v>0</v>
      </c>
      <c r="K131" s="61">
        <f ca="1">EFEITO!$L$131*EFEITO!$Z$164</f>
        <v>2484.6640798368144</v>
      </c>
      <c r="L131" s="61">
        <f>EFEITO!$N$131*EFEITO!$AA$164</f>
        <v>513.44958617818122</v>
      </c>
      <c r="M131" s="61">
        <f>$J$131-EFEITO!$K$131*EFEITO!$Y$131</f>
        <v>0</v>
      </c>
      <c r="N131" s="61">
        <f ca="1">$K$131-EFEITO!$M$131*EFEITO!$Z$131</f>
        <v>1615.0316518939294</v>
      </c>
      <c r="O131" s="61">
        <f>$L$131-EFEITO!$O$131*EFEITO!$AA$131</f>
        <v>333.74223101581777</v>
      </c>
      <c r="P131" s="45"/>
      <c r="Q131" s="45"/>
      <c r="R131" s="45"/>
      <c r="S131" s="45"/>
      <c r="T131" s="45"/>
      <c r="U131" s="45"/>
      <c r="V131" s="45"/>
      <c r="W131" s="45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1.25" customHeight="1" x14ac:dyDescent="0.2">
      <c r="A132" s="41" t="s">
        <v>21</v>
      </c>
      <c r="B132" s="41" t="s">
        <v>22</v>
      </c>
      <c r="C132" s="41" t="s">
        <v>23</v>
      </c>
      <c r="D132" s="41" t="s">
        <v>24</v>
      </c>
      <c r="E132" s="41" t="s">
        <v>29</v>
      </c>
      <c r="F132" s="41" t="s">
        <v>25</v>
      </c>
      <c r="G132" s="41" t="s">
        <v>25</v>
      </c>
      <c r="H132" s="41" t="s">
        <v>25</v>
      </c>
      <c r="I132" s="60">
        <v>44531</v>
      </c>
      <c r="J132" s="61">
        <f>EFEITO!$J$132*EFEITO!$Y$94</f>
        <v>0</v>
      </c>
      <c r="K132" s="61">
        <f ca="1">EFEITO!$L$132*EFEITO!$Z$164</f>
        <v>2552.2739867711498</v>
      </c>
      <c r="L132" s="61">
        <f>EFEITO!$N$132*EFEITO!$AA$164</f>
        <v>527.42100348915221</v>
      </c>
      <c r="M132" s="61">
        <f>$J$132-EFEITO!$K$132*EFEITO!$Y$132</f>
        <v>0</v>
      </c>
      <c r="N132" s="61">
        <f ca="1">$K$132-EFEITO!$M$132*EFEITO!$Z$132</f>
        <v>1658.9780914012476</v>
      </c>
      <c r="O132" s="61">
        <f>$L$132-EFEITO!$O$132*EFEITO!$AA$132</f>
        <v>342.823652267949</v>
      </c>
      <c r="P132" s="45"/>
      <c r="Q132" s="45"/>
      <c r="R132" s="45"/>
      <c r="S132" s="45"/>
      <c r="T132" s="45"/>
      <c r="U132" s="45"/>
      <c r="V132" s="45"/>
      <c r="W132" s="45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1.25" customHeight="1" x14ac:dyDescent="0.2">
      <c r="A133" s="41" t="s">
        <v>21</v>
      </c>
      <c r="B133" s="41" t="s">
        <v>22</v>
      </c>
      <c r="C133" s="41" t="s">
        <v>23</v>
      </c>
      <c r="D133" s="41" t="s">
        <v>24</v>
      </c>
      <c r="E133" s="41" t="s">
        <v>29</v>
      </c>
      <c r="F133" s="41" t="s">
        <v>25</v>
      </c>
      <c r="G133" s="41" t="s">
        <v>25</v>
      </c>
      <c r="H133" s="41" t="s">
        <v>25</v>
      </c>
      <c r="I133" s="60">
        <v>44562</v>
      </c>
      <c r="J133" s="61">
        <f>EFEITO!$J$133*EFEITO!$Y$94</f>
        <v>0</v>
      </c>
      <c r="K133" s="61">
        <f ca="1">EFEITO!$L$133*EFEITO!$Z$164</f>
        <v>2636.7863704390684</v>
      </c>
      <c r="L133" s="61">
        <f>EFEITO!$N$133*EFEITO!$AA$164</f>
        <v>544.88527512786573</v>
      </c>
      <c r="M133" s="61">
        <f>$J$133-EFEITO!$K$133*EFEITO!$Y$133</f>
        <v>0</v>
      </c>
      <c r="N133" s="61">
        <f ca="1">$K$133-EFEITO!$M$133*EFEITO!$Z$133</f>
        <v>1713.9111407853945</v>
      </c>
      <c r="O133" s="61">
        <f>$L$133-EFEITO!$O$133*EFEITO!$AA$133</f>
        <v>354.17542883311273</v>
      </c>
      <c r="P133" s="45"/>
      <c r="Q133" s="45"/>
      <c r="R133" s="45"/>
      <c r="S133" s="45"/>
      <c r="T133" s="45"/>
      <c r="U133" s="45"/>
      <c r="V133" s="45"/>
      <c r="W133" s="45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1.25" customHeight="1" x14ac:dyDescent="0.2">
      <c r="A134" s="41" t="s">
        <v>21</v>
      </c>
      <c r="B134" s="41" t="s">
        <v>22</v>
      </c>
      <c r="C134" s="41" t="s">
        <v>23</v>
      </c>
      <c r="D134" s="41" t="s">
        <v>24</v>
      </c>
      <c r="E134" s="41" t="s">
        <v>29</v>
      </c>
      <c r="F134" s="41" t="s">
        <v>25</v>
      </c>
      <c r="G134" s="41" t="s">
        <v>25</v>
      </c>
      <c r="H134" s="41" t="s">
        <v>25</v>
      </c>
      <c r="I134" s="60">
        <v>44593</v>
      </c>
      <c r="J134" s="61">
        <f>EFEITO!$J$134*EFEITO!$Y$94</f>
        <v>0</v>
      </c>
      <c r="K134" s="61">
        <f ca="1">EFEITO!$L$134*EFEITO!$Z$164</f>
        <v>3870.6671719906835</v>
      </c>
      <c r="L134" s="61">
        <f>EFEITO!$N$134*EFEITO!$AA$164</f>
        <v>799.86364105308508</v>
      </c>
      <c r="M134" s="61">
        <f>$J$134-EFEITO!$K$134*EFEITO!$Y$134</f>
        <v>0</v>
      </c>
      <c r="N134" s="61">
        <f ca="1">$K$134-EFEITO!$M$134*EFEITO!$Z$134</f>
        <v>2515.9336617939443</v>
      </c>
      <c r="O134" s="61">
        <f>$L$134-EFEITO!$O$134*EFEITO!$AA$134</f>
        <v>519.91136668450531</v>
      </c>
      <c r="P134" s="45"/>
      <c r="Q134" s="45"/>
      <c r="R134" s="45"/>
      <c r="S134" s="45"/>
      <c r="T134" s="45"/>
      <c r="U134" s="45"/>
      <c r="V134" s="45"/>
      <c r="W134" s="45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1.25" customHeight="1" x14ac:dyDescent="0.2">
      <c r="A135" s="41" t="s">
        <v>21</v>
      </c>
      <c r="B135" s="41" t="s">
        <v>22</v>
      </c>
      <c r="C135" s="41" t="s">
        <v>23</v>
      </c>
      <c r="D135" s="41" t="s">
        <v>24</v>
      </c>
      <c r="E135" s="41" t="s">
        <v>29</v>
      </c>
      <c r="F135" s="41" t="s">
        <v>25</v>
      </c>
      <c r="G135" s="41" t="s">
        <v>25</v>
      </c>
      <c r="H135" s="41" t="s">
        <v>25</v>
      </c>
      <c r="I135" s="60">
        <v>44621</v>
      </c>
      <c r="J135" s="61">
        <f>EFEITO!$J$135*EFEITO!$Y$94</f>
        <v>0</v>
      </c>
      <c r="K135" s="61">
        <f ca="1">EFEITO!$L$135*EFEITO!$Z$164</f>
        <v>7623.0170068462803</v>
      </c>
      <c r="L135" s="61">
        <f>EFEITO!$N$135*EFEITO!$AA$164</f>
        <v>1575.2773018119708</v>
      </c>
      <c r="M135" s="61">
        <f>$J$135-EFEITO!$K$135*EFEITO!$Y$135</f>
        <v>0</v>
      </c>
      <c r="N135" s="61">
        <f ca="1">$K$135-EFEITO!$M$135*EFEITO!$Z$135</f>
        <v>4954.9610544500829</v>
      </c>
      <c r="O135" s="61">
        <f>$L$135-EFEITO!$O$135*EFEITO!$AA$135</f>
        <v>1023.930246177781</v>
      </c>
      <c r="P135" s="45"/>
      <c r="Q135" s="45"/>
      <c r="R135" s="45"/>
      <c r="S135" s="45"/>
      <c r="T135" s="45"/>
      <c r="U135" s="45"/>
      <c r="V135" s="45"/>
      <c r="W135" s="45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1.25" customHeight="1" x14ac:dyDescent="0.2">
      <c r="A136" s="41" t="s">
        <v>21</v>
      </c>
      <c r="B136" s="41" t="s">
        <v>22</v>
      </c>
      <c r="C136" s="41" t="s">
        <v>23</v>
      </c>
      <c r="D136" s="41" t="s">
        <v>24</v>
      </c>
      <c r="E136" s="41" t="s">
        <v>29</v>
      </c>
      <c r="F136" s="41" t="s">
        <v>25</v>
      </c>
      <c r="G136" s="41" t="s">
        <v>25</v>
      </c>
      <c r="H136" s="41" t="s">
        <v>25</v>
      </c>
      <c r="I136" s="60">
        <v>44652</v>
      </c>
      <c r="J136" s="61">
        <f>EFEITO!$J$136*EFEITO!$Y$94</f>
        <v>0</v>
      </c>
      <c r="K136" s="61">
        <f ca="1">EFEITO!$L$136*EFEITO!$Z$164</f>
        <v>10868.292539694365</v>
      </c>
      <c r="L136" s="61">
        <f>EFEITO!$N$136*EFEITO!$AA$164</f>
        <v>2245.905332738575</v>
      </c>
      <c r="M136" s="61">
        <f>$J$136-EFEITO!$K$136*EFEITO!$Y$136</f>
        <v>0</v>
      </c>
      <c r="N136" s="61">
        <f ca="1">$K$136-EFEITO!$M$136*EFEITO!$Z$136</f>
        <v>7064.3901508013369</v>
      </c>
      <c r="O136" s="61">
        <f>$L$136-EFEITO!$O$136*EFEITO!$AA$136</f>
        <v>1459.8384662800738</v>
      </c>
      <c r="P136" s="45"/>
      <c r="Q136" s="45"/>
      <c r="R136" s="45"/>
      <c r="S136" s="45"/>
      <c r="T136" s="45"/>
      <c r="U136" s="45"/>
      <c r="V136" s="45"/>
      <c r="W136" s="45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1.25" customHeight="1" x14ac:dyDescent="0.2">
      <c r="A137" s="41" t="s">
        <v>21</v>
      </c>
      <c r="B137" s="41" t="s">
        <v>22</v>
      </c>
      <c r="C137" s="41" t="s">
        <v>23</v>
      </c>
      <c r="D137" s="41" t="s">
        <v>24</v>
      </c>
      <c r="E137" s="41" t="s">
        <v>29</v>
      </c>
      <c r="F137" s="41" t="s">
        <v>25</v>
      </c>
      <c r="G137" s="41" t="s">
        <v>25</v>
      </c>
      <c r="H137" s="41" t="s">
        <v>25</v>
      </c>
      <c r="I137" s="60">
        <v>44682</v>
      </c>
      <c r="J137" s="61">
        <f>EFEITO!$J$137*EFEITO!$Y$94</f>
        <v>0</v>
      </c>
      <c r="K137" s="61">
        <f ca="1">EFEITO!$L$137*EFEITO!$Z$164</f>
        <v>11781.026283307889</v>
      </c>
      <c r="L137" s="61">
        <f>EFEITO!$N$137*EFEITO!$AA$164</f>
        <v>2434.5194664366823</v>
      </c>
      <c r="M137" s="61">
        <f>$J$137-EFEITO!$K$137*EFEITO!$Y$137</f>
        <v>0</v>
      </c>
      <c r="N137" s="61">
        <f ca="1">$K$137-EFEITO!$M$137*EFEITO!$Z$137</f>
        <v>7657.6670841501282</v>
      </c>
      <c r="O137" s="61">
        <f>$L$137-EFEITO!$O$137*EFEITO!$AA$137</f>
        <v>1582.4376531838434</v>
      </c>
      <c r="P137" s="45"/>
      <c r="Q137" s="45"/>
      <c r="R137" s="45"/>
      <c r="S137" s="45"/>
      <c r="T137" s="45"/>
      <c r="U137" s="45"/>
      <c r="V137" s="45"/>
      <c r="W137" s="45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1.25" customHeight="1" x14ac:dyDescent="0.2">
      <c r="A138" s="41" t="s">
        <v>21</v>
      </c>
      <c r="B138" s="41" t="s">
        <v>22</v>
      </c>
      <c r="C138" s="41" t="s">
        <v>23</v>
      </c>
      <c r="D138" s="41" t="s">
        <v>24</v>
      </c>
      <c r="E138" s="41" t="s">
        <v>29</v>
      </c>
      <c r="F138" s="41" t="s">
        <v>25</v>
      </c>
      <c r="G138" s="41" t="s">
        <v>25</v>
      </c>
      <c r="H138" s="41" t="s">
        <v>25</v>
      </c>
      <c r="I138" s="60">
        <v>44713</v>
      </c>
      <c r="J138" s="61">
        <f>EFEITO!$J$138*EFEITO!$Y$94</f>
        <v>0</v>
      </c>
      <c r="K138" s="61">
        <f ca="1">EFEITO!$L$138*EFEITO!$Z$164</f>
        <v>12321.90553878257</v>
      </c>
      <c r="L138" s="61">
        <f>EFEITO!$N$138*EFEITO!$AA$164</f>
        <v>2546.2908049244497</v>
      </c>
      <c r="M138" s="61">
        <f>$J$138-EFEITO!$K$138*EFEITO!$Y$138</f>
        <v>0</v>
      </c>
      <c r="N138" s="61">
        <f ca="1">$K$138-EFEITO!$M$138*EFEITO!$Z$138</f>
        <v>8009.2386002086705</v>
      </c>
      <c r="O138" s="61">
        <f>$L$138-EFEITO!$O$138*EFEITO!$AA$138</f>
        <v>1655.0890232008924</v>
      </c>
      <c r="P138" s="45"/>
      <c r="Q138" s="45"/>
      <c r="R138" s="45"/>
      <c r="S138" s="45"/>
      <c r="T138" s="45"/>
      <c r="U138" s="45"/>
      <c r="V138" s="45"/>
      <c r="W138" s="45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1.25" customHeight="1" x14ac:dyDescent="0.2">
      <c r="A139" s="41" t="s">
        <v>21</v>
      </c>
      <c r="B139" s="41" t="s">
        <v>22</v>
      </c>
      <c r="C139" s="41" t="s">
        <v>23</v>
      </c>
      <c r="D139" s="41" t="s">
        <v>24</v>
      </c>
      <c r="E139" s="41" t="s">
        <v>30</v>
      </c>
      <c r="F139" s="41" t="s">
        <v>25</v>
      </c>
      <c r="G139" s="41" t="s">
        <v>25</v>
      </c>
      <c r="H139" s="41" t="s">
        <v>25</v>
      </c>
      <c r="I139" s="60">
        <v>44378</v>
      </c>
      <c r="J139" s="61">
        <f>EFEITO!$J$139*EFEITO!$Y$94</f>
        <v>0</v>
      </c>
      <c r="K139" s="61">
        <f ca="1">EFEITO!$L$139*EFEITO!$Z$164</f>
        <v>4625.6444660907591</v>
      </c>
      <c r="L139" s="61">
        <f>EFEITO!$N$139*EFEITO!$AA$164</f>
        <v>955.87780102559373</v>
      </c>
      <c r="M139" s="61">
        <f>$J$139-EFEITO!$K$139*EFEITO!$Y$139</f>
        <v>0</v>
      </c>
      <c r="N139" s="61">
        <f ca="1">$K$139-EFEITO!$M$139*EFEITO!$Z$139</f>
        <v>1850.2577864363038</v>
      </c>
      <c r="O139" s="61">
        <f>$L$139-EFEITO!$O$139*EFEITO!$AA$139</f>
        <v>382.35112041023751</v>
      </c>
      <c r="P139" s="45"/>
      <c r="Q139" s="45"/>
      <c r="R139" s="45"/>
      <c r="S139" s="45"/>
      <c r="T139" s="45"/>
      <c r="U139" s="45"/>
      <c r="V139" s="45"/>
      <c r="W139" s="45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1.25" customHeight="1" x14ac:dyDescent="0.2">
      <c r="A140" s="41" t="s">
        <v>21</v>
      </c>
      <c r="B140" s="41" t="s">
        <v>22</v>
      </c>
      <c r="C140" s="41" t="s">
        <v>23</v>
      </c>
      <c r="D140" s="41" t="s">
        <v>24</v>
      </c>
      <c r="E140" s="41" t="s">
        <v>30</v>
      </c>
      <c r="F140" s="41" t="s">
        <v>25</v>
      </c>
      <c r="G140" s="41" t="s">
        <v>25</v>
      </c>
      <c r="H140" s="41" t="s">
        <v>25</v>
      </c>
      <c r="I140" s="60">
        <v>44409</v>
      </c>
      <c r="J140" s="61">
        <f>EFEITO!$J$140*EFEITO!$Y$94</f>
        <v>0</v>
      </c>
      <c r="K140" s="61">
        <f ca="1">EFEITO!$L$140*EFEITO!$Z$164</f>
        <v>4854.391317885259</v>
      </c>
      <c r="L140" s="61">
        <f>EFEITO!$N$140*EFEITO!$AA$164</f>
        <v>1003.1477629277118</v>
      </c>
      <c r="M140" s="61">
        <f>$J$140-EFEITO!$K$140*EFEITO!$Y$140</f>
        <v>0</v>
      </c>
      <c r="N140" s="61">
        <f ca="1">$K$140-EFEITO!$M$140*EFEITO!$Z$140</f>
        <v>1941.7565271541039</v>
      </c>
      <c r="O140" s="61">
        <f>$L$140-EFEITO!$O$140*EFEITO!$AA$140</f>
        <v>401.25910517108468</v>
      </c>
      <c r="P140" s="45"/>
      <c r="Q140" s="45"/>
      <c r="R140" s="45"/>
      <c r="S140" s="45"/>
      <c r="T140" s="45"/>
      <c r="U140" s="45"/>
      <c r="V140" s="45"/>
      <c r="W140" s="45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1.25" customHeight="1" x14ac:dyDescent="0.2">
      <c r="A141" s="41" t="s">
        <v>21</v>
      </c>
      <c r="B141" s="41" t="s">
        <v>22</v>
      </c>
      <c r="C141" s="41" t="s">
        <v>23</v>
      </c>
      <c r="D141" s="41" t="s">
        <v>24</v>
      </c>
      <c r="E141" s="41" t="s">
        <v>30</v>
      </c>
      <c r="F141" s="41" t="s">
        <v>25</v>
      </c>
      <c r="G141" s="41" t="s">
        <v>25</v>
      </c>
      <c r="H141" s="41" t="s">
        <v>25</v>
      </c>
      <c r="I141" s="60">
        <v>44440</v>
      </c>
      <c r="J141" s="61">
        <f>EFEITO!$J$141*EFEITO!$Y$94</f>
        <v>0</v>
      </c>
      <c r="K141" s="61">
        <f ca="1">EFEITO!$L$141*EFEITO!$Z$164</f>
        <v>4701.7056113918861</v>
      </c>
      <c r="L141" s="61">
        <f>EFEITO!$N$141*EFEITO!$AA$164</f>
        <v>971.59564550043592</v>
      </c>
      <c r="M141" s="61">
        <f>$J$141-EFEITO!$K$141*EFEITO!$Y$141</f>
        <v>0</v>
      </c>
      <c r="N141" s="61">
        <f ca="1">$K$141-EFEITO!$M$141*EFEITO!$Z$141</f>
        <v>1880.6822445567545</v>
      </c>
      <c r="O141" s="61">
        <f>$L$141-EFEITO!$O$141*EFEITO!$AA$141</f>
        <v>388.63825820017428</v>
      </c>
      <c r="P141" s="45"/>
      <c r="Q141" s="45"/>
      <c r="R141" s="45"/>
      <c r="S141" s="45"/>
      <c r="T141" s="45"/>
      <c r="U141" s="45"/>
      <c r="V141" s="45"/>
      <c r="W141" s="45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1.25" customHeight="1" x14ac:dyDescent="0.2">
      <c r="A142" s="41" t="s">
        <v>21</v>
      </c>
      <c r="B142" s="41" t="s">
        <v>22</v>
      </c>
      <c r="C142" s="41" t="s">
        <v>23</v>
      </c>
      <c r="D142" s="41" t="s">
        <v>24</v>
      </c>
      <c r="E142" s="41" t="s">
        <v>30</v>
      </c>
      <c r="F142" s="41" t="s">
        <v>25</v>
      </c>
      <c r="G142" s="41" t="s">
        <v>25</v>
      </c>
      <c r="H142" s="41" t="s">
        <v>25</v>
      </c>
      <c r="I142" s="60">
        <v>44470</v>
      </c>
      <c r="J142" s="61">
        <f>EFEITO!$J$142*EFEITO!$Y$94</f>
        <v>0</v>
      </c>
      <c r="K142" s="61">
        <f ca="1">EFEITO!$L$142*EFEITO!$Z$164</f>
        <v>5039.1917301724425</v>
      </c>
      <c r="L142" s="61">
        <f>EFEITO!$N$142*EFEITO!$AA$164</f>
        <v>1041.336303577699</v>
      </c>
      <c r="M142" s="61">
        <f>$J$142-EFEITO!$K$142*EFEITO!$Y$142</f>
        <v>0</v>
      </c>
      <c r="N142" s="61">
        <f ca="1">$K$142-EFEITO!$M$142*EFEITO!$Z$142</f>
        <v>2015.6766920689774</v>
      </c>
      <c r="O142" s="61">
        <f>$L$142-EFEITO!$O$142*EFEITO!$AA$142</f>
        <v>416.5345214310795</v>
      </c>
      <c r="P142" s="45"/>
      <c r="Q142" s="45"/>
      <c r="R142" s="45"/>
      <c r="S142" s="45"/>
      <c r="T142" s="45"/>
      <c r="U142" s="45"/>
      <c r="V142" s="45"/>
      <c r="W142" s="45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1.25" customHeight="1" x14ac:dyDescent="0.2">
      <c r="A143" s="41" t="s">
        <v>21</v>
      </c>
      <c r="B143" s="41" t="s">
        <v>22</v>
      </c>
      <c r="C143" s="41" t="s">
        <v>23</v>
      </c>
      <c r="D143" s="41" t="s">
        <v>24</v>
      </c>
      <c r="E143" s="41" t="s">
        <v>30</v>
      </c>
      <c r="F143" s="41" t="s">
        <v>25</v>
      </c>
      <c r="G143" s="41" t="s">
        <v>25</v>
      </c>
      <c r="H143" s="41" t="s">
        <v>25</v>
      </c>
      <c r="I143" s="60">
        <v>44501</v>
      </c>
      <c r="J143" s="61">
        <f>EFEITO!$J$143*EFEITO!$Y$94</f>
        <v>0</v>
      </c>
      <c r="K143" s="61">
        <f ca="1">EFEITO!$L$143*EFEITO!$Z$164</f>
        <v>5512.4610787127876</v>
      </c>
      <c r="L143" s="61">
        <f>EFEITO!$N$143*EFEITO!$AA$164</f>
        <v>1139.1362247544955</v>
      </c>
      <c r="M143" s="61">
        <f>$J$143-EFEITO!$K$143*EFEITO!$Y$143</f>
        <v>0</v>
      </c>
      <c r="N143" s="61">
        <f ca="1">$K$143-EFEITO!$M$143*EFEITO!$Z$143</f>
        <v>2204.9844314851152</v>
      </c>
      <c r="O143" s="61">
        <f>$L$143-EFEITO!$O$143*EFEITO!$AA$143</f>
        <v>455.65448990179812</v>
      </c>
      <c r="P143" s="45"/>
      <c r="Q143" s="45"/>
      <c r="R143" s="45"/>
      <c r="S143" s="45"/>
      <c r="T143" s="45"/>
      <c r="U143" s="45"/>
      <c r="V143" s="45"/>
      <c r="W143" s="45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1.25" customHeight="1" x14ac:dyDescent="0.2">
      <c r="A144" s="41" t="s">
        <v>21</v>
      </c>
      <c r="B144" s="41" t="s">
        <v>22</v>
      </c>
      <c r="C144" s="41" t="s">
        <v>23</v>
      </c>
      <c r="D144" s="41" t="s">
        <v>24</v>
      </c>
      <c r="E144" s="41" t="s">
        <v>30</v>
      </c>
      <c r="F144" s="41" t="s">
        <v>25</v>
      </c>
      <c r="G144" s="41" t="s">
        <v>25</v>
      </c>
      <c r="H144" s="41" t="s">
        <v>25</v>
      </c>
      <c r="I144" s="60">
        <v>44531</v>
      </c>
      <c r="J144" s="61">
        <f>EFEITO!$J$144*EFEITO!$Y$94</f>
        <v>0</v>
      </c>
      <c r="K144" s="61">
        <f ca="1">EFEITO!$L$144*EFEITO!$Z$164</f>
        <v>5678.1053507019078</v>
      </c>
      <c r="L144" s="61">
        <f>EFEITO!$N$144*EFEITO!$AA$164</f>
        <v>1173.3661971663741</v>
      </c>
      <c r="M144" s="61">
        <f>$J$144-EFEITO!$K$144*EFEITO!$Y$144</f>
        <v>0</v>
      </c>
      <c r="N144" s="61">
        <f ca="1">$K$144-EFEITO!$M$144*EFEITO!$Z$144</f>
        <v>2271.2421402807631</v>
      </c>
      <c r="O144" s="61">
        <f>$L$144-EFEITO!$O$144*EFEITO!$AA$144</f>
        <v>469.34647886654966</v>
      </c>
      <c r="P144" s="45"/>
      <c r="Q144" s="45"/>
      <c r="R144" s="45"/>
      <c r="S144" s="45"/>
      <c r="T144" s="45"/>
      <c r="U144" s="45"/>
      <c r="V144" s="45"/>
      <c r="W144" s="45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1.25" customHeight="1" x14ac:dyDescent="0.2">
      <c r="A145" s="41" t="s">
        <v>21</v>
      </c>
      <c r="B145" s="41" t="s">
        <v>22</v>
      </c>
      <c r="C145" s="41" t="s">
        <v>23</v>
      </c>
      <c r="D145" s="41" t="s">
        <v>24</v>
      </c>
      <c r="E145" s="41" t="s">
        <v>30</v>
      </c>
      <c r="F145" s="41" t="s">
        <v>25</v>
      </c>
      <c r="G145" s="41" t="s">
        <v>25</v>
      </c>
      <c r="H145" s="41" t="s">
        <v>25</v>
      </c>
      <c r="I145" s="60">
        <v>44562</v>
      </c>
      <c r="J145" s="61">
        <f>EFEITO!$J$145*EFEITO!$Y$94</f>
        <v>0</v>
      </c>
      <c r="K145" s="61">
        <f ca="1">EFEITO!$L$145*EFEITO!$Z$164</f>
        <v>5907.4156183875275</v>
      </c>
      <c r="L145" s="61">
        <f>EFEITO!$N$145*EFEITO!$AA$164</f>
        <v>1220.7525875460838</v>
      </c>
      <c r="M145" s="61">
        <f>$J$145-EFEITO!$K$145*EFEITO!$Y$145</f>
        <v>0</v>
      </c>
      <c r="N145" s="61">
        <f ca="1">$K$145-EFEITO!$M$145*EFEITO!$Z$145</f>
        <v>2362.9662473550111</v>
      </c>
      <c r="O145" s="61">
        <f>$L$145-EFEITO!$O$145*EFEITO!$AA$145</f>
        <v>488.30103501843348</v>
      </c>
      <c r="P145" s="45"/>
      <c r="Q145" s="45"/>
      <c r="R145" s="45"/>
      <c r="S145" s="45"/>
      <c r="T145" s="45"/>
      <c r="U145" s="45"/>
      <c r="V145" s="45"/>
      <c r="W145" s="45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1.25" customHeight="1" x14ac:dyDescent="0.2">
      <c r="A146" s="41" t="s">
        <v>21</v>
      </c>
      <c r="B146" s="41" t="s">
        <v>22</v>
      </c>
      <c r="C146" s="41" t="s">
        <v>23</v>
      </c>
      <c r="D146" s="41" t="s">
        <v>24</v>
      </c>
      <c r="E146" s="41" t="s">
        <v>30</v>
      </c>
      <c r="F146" s="41" t="s">
        <v>25</v>
      </c>
      <c r="G146" s="41" t="s">
        <v>25</v>
      </c>
      <c r="H146" s="41" t="s">
        <v>25</v>
      </c>
      <c r="I146" s="60">
        <v>44593</v>
      </c>
      <c r="J146" s="61">
        <f>EFEITO!$J$146*EFEITO!$Y$94</f>
        <v>0</v>
      </c>
      <c r="K146" s="61">
        <f ca="1">EFEITO!$L$146*EFEITO!$Z$164</f>
        <v>8168.9670053410373</v>
      </c>
      <c r="L146" s="61">
        <f>EFEITO!$N$146*EFEITO!$AA$164</f>
        <v>1688.0964965980611</v>
      </c>
      <c r="M146" s="61">
        <f>$J$146-EFEITO!$K$146*EFEITO!$Y$146</f>
        <v>0</v>
      </c>
      <c r="N146" s="61">
        <f ca="1">$K$146-EFEITO!$M$146*EFEITO!$Z$146</f>
        <v>3267.5868021364149</v>
      </c>
      <c r="O146" s="61">
        <f>$L$146-EFEITO!$O$146*EFEITO!$AA$146</f>
        <v>675.23859863922439</v>
      </c>
      <c r="P146" s="45"/>
      <c r="Q146" s="45"/>
      <c r="R146" s="45"/>
      <c r="S146" s="45"/>
      <c r="T146" s="45"/>
      <c r="U146" s="45"/>
      <c r="V146" s="45"/>
      <c r="W146" s="45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1.25" customHeight="1" x14ac:dyDescent="0.2">
      <c r="A147" s="41" t="s">
        <v>21</v>
      </c>
      <c r="B147" s="41" t="s">
        <v>22</v>
      </c>
      <c r="C147" s="41" t="s">
        <v>23</v>
      </c>
      <c r="D147" s="41" t="s">
        <v>24</v>
      </c>
      <c r="E147" s="41" t="s">
        <v>30</v>
      </c>
      <c r="F147" s="41" t="s">
        <v>25</v>
      </c>
      <c r="G147" s="41" t="s">
        <v>25</v>
      </c>
      <c r="H147" s="41" t="s">
        <v>25</v>
      </c>
      <c r="I147" s="60">
        <v>44621</v>
      </c>
      <c r="J147" s="61">
        <f>EFEITO!$J$147*EFEITO!$Y$94</f>
        <v>0</v>
      </c>
      <c r="K147" s="61">
        <f ca="1">EFEITO!$L$147*EFEITO!$Z$164</f>
        <v>14786.286646539083</v>
      </c>
      <c r="L147" s="61">
        <f>EFEITO!$N$147*EFEITO!$AA$164</f>
        <v>3055.5489659093396</v>
      </c>
      <c r="M147" s="61">
        <f>$J$147-EFEITO!$K$147*EFEITO!$Y$147</f>
        <v>0</v>
      </c>
      <c r="N147" s="61">
        <f ca="1">$K$147-EFEITO!$M$147*EFEITO!$Z$147</f>
        <v>5914.5146586156334</v>
      </c>
      <c r="O147" s="61">
        <f>$L$147-EFEITO!$O$147*EFEITO!$AA$147</f>
        <v>1222.2195863637357</v>
      </c>
      <c r="P147" s="45"/>
      <c r="Q147" s="45"/>
      <c r="R147" s="45"/>
      <c r="S147" s="45"/>
      <c r="T147" s="45"/>
      <c r="U147" s="45"/>
      <c r="V147" s="45"/>
      <c r="W147" s="45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1.25" customHeight="1" x14ac:dyDescent="0.2">
      <c r="A148" s="41" t="s">
        <v>21</v>
      </c>
      <c r="B148" s="41" t="s">
        <v>22</v>
      </c>
      <c r="C148" s="41" t="s">
        <v>23</v>
      </c>
      <c r="D148" s="41" t="s">
        <v>24</v>
      </c>
      <c r="E148" s="41" t="s">
        <v>30</v>
      </c>
      <c r="F148" s="41" t="s">
        <v>25</v>
      </c>
      <c r="G148" s="41" t="s">
        <v>25</v>
      </c>
      <c r="H148" s="41" t="s">
        <v>25</v>
      </c>
      <c r="I148" s="60">
        <v>44652</v>
      </c>
      <c r="J148" s="61">
        <f>EFEITO!$J$148*EFEITO!$Y$94</f>
        <v>0</v>
      </c>
      <c r="K148" s="61">
        <f ca="1">EFEITO!$L$148*EFEITO!$Z$164</f>
        <v>20706.097414531239</v>
      </c>
      <c r="L148" s="61">
        <f>EFEITO!$N$148*EFEITO!$AA$164</f>
        <v>4278.862979962435</v>
      </c>
      <c r="M148" s="61">
        <f>$J$148-EFEITO!$K$148*EFEITO!$Y$148</f>
        <v>0</v>
      </c>
      <c r="N148" s="61">
        <f ca="1">$K$148-EFEITO!$M$148*EFEITO!$Z$148</f>
        <v>8282.4389658124965</v>
      </c>
      <c r="O148" s="61">
        <f>$L$148-EFEITO!$O$148*EFEITO!$AA$148</f>
        <v>1711.5451919849743</v>
      </c>
      <c r="P148" s="45"/>
      <c r="Q148" s="45"/>
      <c r="R148" s="45"/>
      <c r="S148" s="45"/>
      <c r="T148" s="45"/>
      <c r="U148" s="45"/>
      <c r="V148" s="45"/>
      <c r="W148" s="45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1.25" customHeight="1" x14ac:dyDescent="0.2">
      <c r="A149" s="41" t="s">
        <v>21</v>
      </c>
      <c r="B149" s="41" t="s">
        <v>22</v>
      </c>
      <c r="C149" s="41" t="s">
        <v>23</v>
      </c>
      <c r="D149" s="41" t="s">
        <v>24</v>
      </c>
      <c r="E149" s="41" t="s">
        <v>30</v>
      </c>
      <c r="F149" s="41" t="s">
        <v>25</v>
      </c>
      <c r="G149" s="41" t="s">
        <v>25</v>
      </c>
      <c r="H149" s="41" t="s">
        <v>25</v>
      </c>
      <c r="I149" s="60">
        <v>44682</v>
      </c>
      <c r="J149" s="61">
        <f>EFEITO!$J$149*EFEITO!$Y$94</f>
        <v>0</v>
      </c>
      <c r="K149" s="61">
        <f ca="1">EFEITO!$L$149*EFEITO!$Z$164</f>
        <v>21635.170218987227</v>
      </c>
      <c r="L149" s="61">
        <f>EFEITO!$N$149*EFEITO!$AA$164</f>
        <v>4470.8535395106937</v>
      </c>
      <c r="M149" s="61">
        <f>$J$149-EFEITO!$K$149*EFEITO!$Y$149</f>
        <v>0</v>
      </c>
      <c r="N149" s="61">
        <f ca="1">$K$149-EFEITO!$M$149*EFEITO!$Z$149</f>
        <v>8654.068087594891</v>
      </c>
      <c r="O149" s="61">
        <f>$L$149-EFEITO!$O$149*EFEITO!$AA$149</f>
        <v>1788.3414158042774</v>
      </c>
      <c r="P149" s="45"/>
      <c r="Q149" s="45"/>
      <c r="R149" s="45"/>
      <c r="S149" s="45"/>
      <c r="T149" s="45"/>
      <c r="U149" s="45"/>
      <c r="V149" s="45"/>
      <c r="W149" s="45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1.25" customHeight="1" x14ac:dyDescent="0.2">
      <c r="A150" s="41" t="s">
        <v>21</v>
      </c>
      <c r="B150" s="41" t="s">
        <v>22</v>
      </c>
      <c r="C150" s="41" t="s">
        <v>23</v>
      </c>
      <c r="D150" s="41" t="s">
        <v>24</v>
      </c>
      <c r="E150" s="41" t="s">
        <v>30</v>
      </c>
      <c r="F150" s="41" t="s">
        <v>25</v>
      </c>
      <c r="G150" s="41" t="s">
        <v>25</v>
      </c>
      <c r="H150" s="41" t="s">
        <v>25</v>
      </c>
      <c r="I150" s="60">
        <v>44713</v>
      </c>
      <c r="J150" s="61">
        <f>EFEITO!$J$150*EFEITO!$Y$94</f>
        <v>0</v>
      </c>
      <c r="K150" s="61">
        <f ca="1">EFEITO!$L$150*EFEITO!$Z$164</f>
        <v>22716.36531404547</v>
      </c>
      <c r="L150" s="61">
        <f>EFEITO!$N$150*EFEITO!$AA$164</f>
        <v>4694.2797880086373</v>
      </c>
      <c r="M150" s="61">
        <f>$J$150-EFEITO!$K$150*EFEITO!$Y$150</f>
        <v>0</v>
      </c>
      <c r="N150" s="61">
        <f ca="1">$K$150-EFEITO!$M$150*EFEITO!$Z$150</f>
        <v>9086.5461256181879</v>
      </c>
      <c r="O150" s="61">
        <f>$L$150-EFEITO!$O$150*EFEITO!$AA$150</f>
        <v>1877.7119152034547</v>
      </c>
      <c r="P150" s="45"/>
      <c r="Q150" s="45"/>
      <c r="R150" s="45"/>
      <c r="S150" s="45"/>
      <c r="T150" s="45"/>
      <c r="U150" s="45"/>
      <c r="V150" s="45"/>
      <c r="W150" s="45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1.25" customHeight="1" x14ac:dyDescent="0.2">
      <c r="A151" s="41" t="s">
        <v>21</v>
      </c>
      <c r="B151" s="41" t="s">
        <v>22</v>
      </c>
      <c r="C151" s="41" t="s">
        <v>23</v>
      </c>
      <c r="D151" s="41" t="s">
        <v>24</v>
      </c>
      <c r="E151" s="41" t="s">
        <v>31</v>
      </c>
      <c r="F151" s="41" t="s">
        <v>25</v>
      </c>
      <c r="G151" s="41" t="s">
        <v>25</v>
      </c>
      <c r="H151" s="41" t="s">
        <v>25</v>
      </c>
      <c r="I151" s="60">
        <v>44378</v>
      </c>
      <c r="J151" s="61">
        <f>EFEITO!$J$151*EFEITO!$Y$94</f>
        <v>0</v>
      </c>
      <c r="K151" s="61">
        <f ca="1">EFEITO!$L$151*EFEITO!$Z$164</f>
        <v>4756.9203687215922</v>
      </c>
      <c r="L151" s="61">
        <f>EFEITO!$N$151*EFEITO!$AA$164</f>
        <v>983.00563630439547</v>
      </c>
      <c r="M151" s="61">
        <f>$J$151-EFEITO!$K$151*EFEITO!$Y$151</f>
        <v>0</v>
      </c>
      <c r="N151" s="61">
        <f ca="1">$K$151-EFEITO!$M$151*EFEITO!$Z$151</f>
        <v>475.6920368721585</v>
      </c>
      <c r="O151" s="61">
        <f>$L$151-EFEITO!$O$151*EFEITO!$AA$151</f>
        <v>98.300563630439569</v>
      </c>
      <c r="P151" s="45"/>
      <c r="Q151" s="45"/>
      <c r="R151" s="45"/>
      <c r="S151" s="45"/>
      <c r="T151" s="45"/>
      <c r="U151" s="45"/>
      <c r="V151" s="45"/>
      <c r="W151" s="45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1.25" customHeight="1" x14ac:dyDescent="0.2">
      <c r="A152" s="41" t="s">
        <v>21</v>
      </c>
      <c r="B152" s="41" t="s">
        <v>22</v>
      </c>
      <c r="C152" s="41" t="s">
        <v>23</v>
      </c>
      <c r="D152" s="41" t="s">
        <v>24</v>
      </c>
      <c r="E152" s="41" t="s">
        <v>31</v>
      </c>
      <c r="F152" s="41" t="s">
        <v>25</v>
      </c>
      <c r="G152" s="41" t="s">
        <v>25</v>
      </c>
      <c r="H152" s="41" t="s">
        <v>25</v>
      </c>
      <c r="I152" s="60">
        <v>44409</v>
      </c>
      <c r="J152" s="61">
        <f>EFEITO!$J$152*EFEITO!$Y$94</f>
        <v>0</v>
      </c>
      <c r="K152" s="61">
        <f ca="1">EFEITO!$L$152*EFEITO!$Z$164</f>
        <v>5289.911801720601</v>
      </c>
      <c r="L152" s="61">
        <f>EFEITO!$N$152*EFEITO!$AA$164</f>
        <v>1093.1469761058827</v>
      </c>
      <c r="M152" s="61">
        <f>$J$152-EFEITO!$K$152*EFEITO!$Y$152</f>
        <v>0</v>
      </c>
      <c r="N152" s="61">
        <f ca="1">$K$152-EFEITO!$M$152*EFEITO!$Z$152</f>
        <v>528.99118017206001</v>
      </c>
      <c r="O152" s="61">
        <f>$L$152-EFEITO!$O$152*EFEITO!$AA$152</f>
        <v>109.31469761058815</v>
      </c>
      <c r="P152" s="45"/>
      <c r="Q152" s="45"/>
      <c r="R152" s="45"/>
      <c r="S152" s="45"/>
      <c r="T152" s="45"/>
      <c r="U152" s="45"/>
      <c r="V152" s="45"/>
      <c r="W152" s="45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1.25" customHeight="1" x14ac:dyDescent="0.2">
      <c r="A153" s="41" t="s">
        <v>21</v>
      </c>
      <c r="B153" s="41" t="s">
        <v>22</v>
      </c>
      <c r="C153" s="41" t="s">
        <v>23</v>
      </c>
      <c r="D153" s="41" t="s">
        <v>24</v>
      </c>
      <c r="E153" s="41" t="s">
        <v>31</v>
      </c>
      <c r="F153" s="41" t="s">
        <v>25</v>
      </c>
      <c r="G153" s="41" t="s">
        <v>25</v>
      </c>
      <c r="H153" s="41" t="s">
        <v>25</v>
      </c>
      <c r="I153" s="60">
        <v>44440</v>
      </c>
      <c r="J153" s="61">
        <f>EFEITO!$J$153*EFEITO!$Y$94</f>
        <v>0</v>
      </c>
      <c r="K153" s="61">
        <f ca="1">EFEITO!$L$153*EFEITO!$Z$164</f>
        <v>5009.8941038342291</v>
      </c>
      <c r="L153" s="61">
        <f>EFEITO!$N$153*EFEITO!$AA$164</f>
        <v>1035.2820227429449</v>
      </c>
      <c r="M153" s="61">
        <f>$J$153-EFEITO!$K$153*EFEITO!$Y$153</f>
        <v>0</v>
      </c>
      <c r="N153" s="61">
        <f ca="1">$K$153-EFEITO!$M$153*EFEITO!$Z$153</f>
        <v>500.98941038342218</v>
      </c>
      <c r="O153" s="61">
        <f>$L$153-EFEITO!$O$153*EFEITO!$AA$153</f>
        <v>103.52820227429447</v>
      </c>
      <c r="P153" s="45"/>
      <c r="Q153" s="45"/>
      <c r="R153" s="45"/>
      <c r="S153" s="45"/>
      <c r="T153" s="45"/>
      <c r="U153" s="45"/>
      <c r="V153" s="45"/>
      <c r="W153" s="45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1.25" customHeight="1" x14ac:dyDescent="0.2">
      <c r="A154" s="41" t="s">
        <v>21</v>
      </c>
      <c r="B154" s="41" t="s">
        <v>22</v>
      </c>
      <c r="C154" s="41" t="s">
        <v>23</v>
      </c>
      <c r="D154" s="41" t="s">
        <v>24</v>
      </c>
      <c r="E154" s="41" t="s">
        <v>31</v>
      </c>
      <c r="F154" s="41" t="s">
        <v>25</v>
      </c>
      <c r="G154" s="41" t="s">
        <v>25</v>
      </c>
      <c r="H154" s="41" t="s">
        <v>25</v>
      </c>
      <c r="I154" s="60">
        <v>44470</v>
      </c>
      <c r="J154" s="61">
        <f>EFEITO!$J$154*EFEITO!$Y$94</f>
        <v>0</v>
      </c>
      <c r="K154" s="61">
        <f ca="1">EFEITO!$L$154*EFEITO!$Z$164</f>
        <v>5653.3150514926529</v>
      </c>
      <c r="L154" s="61">
        <f>EFEITO!$N$154*EFEITO!$AA$164</f>
        <v>1168.2433441523517</v>
      </c>
      <c r="M154" s="61">
        <f>$J$154-EFEITO!$K$154*EFEITO!$Y$154</f>
        <v>0</v>
      </c>
      <c r="N154" s="61">
        <f ca="1">$K$154-EFEITO!$M$154*EFEITO!$Z$154</f>
        <v>565.33150514926547</v>
      </c>
      <c r="O154" s="61">
        <f>$L$154-EFEITO!$O$154*EFEITO!$AA$154</f>
        <v>116.82433441523517</v>
      </c>
      <c r="P154" s="45"/>
      <c r="Q154" s="45"/>
      <c r="R154" s="45"/>
      <c r="S154" s="45"/>
      <c r="T154" s="45"/>
      <c r="U154" s="45"/>
      <c r="V154" s="45"/>
      <c r="W154" s="45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1.25" customHeight="1" x14ac:dyDescent="0.2">
      <c r="A155" s="41" t="s">
        <v>21</v>
      </c>
      <c r="B155" s="41" t="s">
        <v>22</v>
      </c>
      <c r="C155" s="41" t="s">
        <v>23</v>
      </c>
      <c r="D155" s="41" t="s">
        <v>24</v>
      </c>
      <c r="E155" s="41" t="s">
        <v>31</v>
      </c>
      <c r="F155" s="41" t="s">
        <v>25</v>
      </c>
      <c r="G155" s="41" t="s">
        <v>25</v>
      </c>
      <c r="H155" s="41" t="s">
        <v>25</v>
      </c>
      <c r="I155" s="60">
        <v>44501</v>
      </c>
      <c r="J155" s="61">
        <f>EFEITO!$J$155*EFEITO!$Y$94</f>
        <v>0</v>
      </c>
      <c r="K155" s="61">
        <f ca="1">EFEITO!$L$155*EFEITO!$Z$164</f>
        <v>5846.0032862555072</v>
      </c>
      <c r="L155" s="61">
        <f>EFEITO!$N$155*EFEITO!$AA$164</f>
        <v>1208.0618834886186</v>
      </c>
      <c r="M155" s="61">
        <f>$J$155-EFEITO!$K$155*EFEITO!$Y$155</f>
        <v>0</v>
      </c>
      <c r="N155" s="61">
        <f ca="1">$K$155-EFEITO!$M$155*EFEITO!$Z$155</f>
        <v>584.6003286255509</v>
      </c>
      <c r="O155" s="61">
        <f>$L$155-EFEITO!$O$155*EFEITO!$AA$155</f>
        <v>120.80618834886172</v>
      </c>
      <c r="P155" s="45"/>
      <c r="Q155" s="45"/>
      <c r="R155" s="45"/>
      <c r="S155" s="45"/>
      <c r="T155" s="45"/>
      <c r="U155" s="45"/>
      <c r="V155" s="45"/>
      <c r="W155" s="45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1.25" customHeight="1" x14ac:dyDescent="0.2">
      <c r="A156" s="41" t="s">
        <v>21</v>
      </c>
      <c r="B156" s="41" t="s">
        <v>22</v>
      </c>
      <c r="C156" s="41" t="s">
        <v>23</v>
      </c>
      <c r="D156" s="41" t="s">
        <v>24</v>
      </c>
      <c r="E156" s="41" t="s">
        <v>31</v>
      </c>
      <c r="F156" s="41" t="s">
        <v>25</v>
      </c>
      <c r="G156" s="41" t="s">
        <v>25</v>
      </c>
      <c r="H156" s="41" t="s">
        <v>25</v>
      </c>
      <c r="I156" s="60">
        <v>44531</v>
      </c>
      <c r="J156" s="61">
        <f>EFEITO!$J$156*EFEITO!$Y$94</f>
        <v>0</v>
      </c>
      <c r="K156" s="61">
        <f ca="1">EFEITO!$L$156*EFEITO!$Z$164</f>
        <v>5482.6000364834563</v>
      </c>
      <c r="L156" s="61">
        <f>EFEITO!$N$156*EFEITO!$AA$164</f>
        <v>1132.96551544215</v>
      </c>
      <c r="M156" s="61">
        <f>$J$156-EFEITO!$K$156*EFEITO!$Y$156</f>
        <v>0</v>
      </c>
      <c r="N156" s="61">
        <f ca="1">$K$156-EFEITO!$M$156*EFEITO!$Z$156</f>
        <v>548.26000364834545</v>
      </c>
      <c r="O156" s="61">
        <f>$L$156-EFEITO!$O$156*EFEITO!$AA$156</f>
        <v>113.29655154421505</v>
      </c>
      <c r="P156" s="45"/>
      <c r="Q156" s="45"/>
      <c r="R156" s="45"/>
      <c r="S156" s="45"/>
      <c r="T156" s="45"/>
      <c r="U156" s="45"/>
      <c r="V156" s="45"/>
      <c r="W156" s="45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1.25" customHeight="1" x14ac:dyDescent="0.2">
      <c r="A157" s="41" t="s">
        <v>21</v>
      </c>
      <c r="B157" s="41" t="s">
        <v>22</v>
      </c>
      <c r="C157" s="41" t="s">
        <v>23</v>
      </c>
      <c r="D157" s="41" t="s">
        <v>24</v>
      </c>
      <c r="E157" s="41" t="s">
        <v>31</v>
      </c>
      <c r="F157" s="41" t="s">
        <v>25</v>
      </c>
      <c r="G157" s="41" t="s">
        <v>25</v>
      </c>
      <c r="H157" s="41" t="s">
        <v>25</v>
      </c>
      <c r="I157" s="60">
        <v>44562</v>
      </c>
      <c r="J157" s="61">
        <f>EFEITO!$J$157*EFEITO!$Y$94</f>
        <v>0</v>
      </c>
      <c r="K157" s="61">
        <f ca="1">EFEITO!$L$157*EFEITO!$Z$164</f>
        <v>6536.1877528768446</v>
      </c>
      <c r="L157" s="61">
        <f>EFEITO!$N$157*EFEITO!$AA$164</f>
        <v>1350.6867685381135</v>
      </c>
      <c r="M157" s="61">
        <f>$J$157-EFEITO!$K$157*EFEITO!$Y$157</f>
        <v>0</v>
      </c>
      <c r="N157" s="61">
        <f ca="1">$K$157-EFEITO!$M$157*EFEITO!$Z$157</f>
        <v>653.618775287684</v>
      </c>
      <c r="O157" s="61">
        <f>$L$157-EFEITO!$O$157*EFEITO!$AA$157</f>
        <v>135.06867685381121</v>
      </c>
      <c r="P157" s="45"/>
      <c r="Q157" s="45"/>
      <c r="R157" s="45"/>
      <c r="S157" s="45"/>
      <c r="T157" s="45"/>
      <c r="U157" s="45"/>
      <c r="V157" s="45"/>
      <c r="W157" s="45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1.25" customHeight="1" x14ac:dyDescent="0.2">
      <c r="A158" s="41" t="s">
        <v>27</v>
      </c>
      <c r="B158" s="41" t="s">
        <v>22</v>
      </c>
      <c r="C158" s="41" t="s">
        <v>23</v>
      </c>
      <c r="D158" s="41" t="s">
        <v>24</v>
      </c>
      <c r="E158" s="41" t="s">
        <v>31</v>
      </c>
      <c r="F158" s="41" t="s">
        <v>25</v>
      </c>
      <c r="G158" s="41" t="s">
        <v>25</v>
      </c>
      <c r="H158" s="41" t="s">
        <v>25</v>
      </c>
      <c r="I158" s="60">
        <v>44562</v>
      </c>
      <c r="J158" s="61">
        <f>EFEITO!$J$158*EFEITO!$Y$94</f>
        <v>0</v>
      </c>
      <c r="K158" s="61">
        <f ca="1">EFEITO!$L$158*EFEITO!$Z$164</f>
        <v>11.26831782238918</v>
      </c>
      <c r="L158" s="61">
        <f>EFEITO!$N$158*EFEITO!$AA$164</f>
        <v>2.3285695518284864</v>
      </c>
      <c r="M158" s="61">
        <f>$J$158-EFEITO!$K$158*EFEITO!$Y$158</f>
        <v>0</v>
      </c>
      <c r="N158" s="61">
        <f ca="1">$K$158-EFEITO!$M$158*EFEITO!$Z$158</f>
        <v>1.1268317822389164</v>
      </c>
      <c r="O158" s="61">
        <f>$L$158-EFEITO!$O$158*EFEITO!$AA$158</f>
        <v>0.23285695518284877</v>
      </c>
      <c r="P158" s="45"/>
      <c r="Q158" s="45"/>
      <c r="R158" s="45"/>
      <c r="S158" s="45"/>
      <c r="T158" s="45"/>
      <c r="U158" s="45"/>
      <c r="V158" s="45"/>
      <c r="W158" s="45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1.25" customHeight="1" x14ac:dyDescent="0.2">
      <c r="A159" s="41" t="s">
        <v>21</v>
      </c>
      <c r="B159" s="41" t="s">
        <v>22</v>
      </c>
      <c r="C159" s="41" t="s">
        <v>23</v>
      </c>
      <c r="D159" s="41" t="s">
        <v>24</v>
      </c>
      <c r="E159" s="41" t="s">
        <v>31</v>
      </c>
      <c r="F159" s="41" t="s">
        <v>25</v>
      </c>
      <c r="G159" s="41" t="s">
        <v>25</v>
      </c>
      <c r="H159" s="41" t="s">
        <v>25</v>
      </c>
      <c r="I159" s="60">
        <v>44593</v>
      </c>
      <c r="J159" s="61">
        <f>EFEITO!$J$159*EFEITO!$Y$94</f>
        <v>0</v>
      </c>
      <c r="K159" s="61">
        <f ca="1">EFEITO!$L$159*EFEITO!$Z$164</f>
        <v>7866.4126718098869</v>
      </c>
      <c r="L159" s="61">
        <f>EFEITO!$N$159*EFEITO!$AA$164</f>
        <v>1625.5744041314663</v>
      </c>
      <c r="M159" s="61">
        <f>$J$159-EFEITO!$K$159*EFEITO!$Y$159</f>
        <v>0</v>
      </c>
      <c r="N159" s="61">
        <f ca="1">$K$159-EFEITO!$M$159*EFEITO!$Z$159</f>
        <v>786.64126718098851</v>
      </c>
      <c r="O159" s="61">
        <f>$L$159-EFEITO!$O$159*EFEITO!$AA$159</f>
        <v>162.55744041314665</v>
      </c>
      <c r="P159" s="45"/>
      <c r="Q159" s="45"/>
      <c r="R159" s="45"/>
      <c r="S159" s="45"/>
      <c r="T159" s="45"/>
      <c r="U159" s="45"/>
      <c r="V159" s="45"/>
      <c r="W159" s="45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1.25" customHeight="1" x14ac:dyDescent="0.2">
      <c r="A160" s="41" t="s">
        <v>21</v>
      </c>
      <c r="B160" s="41" t="s">
        <v>22</v>
      </c>
      <c r="C160" s="41" t="s">
        <v>23</v>
      </c>
      <c r="D160" s="41" t="s">
        <v>24</v>
      </c>
      <c r="E160" s="41" t="s">
        <v>31</v>
      </c>
      <c r="F160" s="41" t="s">
        <v>25</v>
      </c>
      <c r="G160" s="41" t="s">
        <v>25</v>
      </c>
      <c r="H160" s="41" t="s">
        <v>25</v>
      </c>
      <c r="I160" s="60">
        <v>44621</v>
      </c>
      <c r="J160" s="61">
        <f>EFEITO!$J$160*EFEITO!$Y$94</f>
        <v>0</v>
      </c>
      <c r="K160" s="61">
        <f ca="1">EFEITO!$L$160*EFEITO!$Z$164</f>
        <v>12077.383042036725</v>
      </c>
      <c r="L160" s="61">
        <f>EFEITO!$N$160*EFEITO!$AA$164</f>
        <v>2495.7608456497715</v>
      </c>
      <c r="M160" s="61">
        <f>$J$160-EFEITO!$K$160*EFEITO!$Y$160</f>
        <v>0</v>
      </c>
      <c r="N160" s="61">
        <f ca="1">$K$160-EFEITO!$M$160*EFEITO!$Z$160</f>
        <v>1207.7383042036727</v>
      </c>
      <c r="O160" s="61">
        <f>$L$160-EFEITO!$O$160*EFEITO!$AA$160</f>
        <v>249.57608456497701</v>
      </c>
      <c r="P160" s="45"/>
      <c r="Q160" s="45"/>
      <c r="R160" s="45"/>
      <c r="S160" s="45"/>
      <c r="T160" s="45"/>
      <c r="U160" s="45"/>
      <c r="V160" s="45"/>
      <c r="W160" s="45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1.25" customHeight="1" x14ac:dyDescent="0.2">
      <c r="A161" s="41" t="s">
        <v>21</v>
      </c>
      <c r="B161" s="41" t="s">
        <v>22</v>
      </c>
      <c r="C161" s="41" t="s">
        <v>23</v>
      </c>
      <c r="D161" s="41" t="s">
        <v>24</v>
      </c>
      <c r="E161" s="41" t="s">
        <v>31</v>
      </c>
      <c r="F161" s="41" t="s">
        <v>25</v>
      </c>
      <c r="G161" s="41" t="s">
        <v>25</v>
      </c>
      <c r="H161" s="41" t="s">
        <v>25</v>
      </c>
      <c r="I161" s="60">
        <v>44652</v>
      </c>
      <c r="J161" s="61">
        <f>EFEITO!$J$161*EFEITO!$Y$94</f>
        <v>0</v>
      </c>
      <c r="K161" s="61">
        <f ca="1">EFEITO!$L$161*EFEITO!$Z$164</f>
        <v>18670.475799916632</v>
      </c>
      <c r="L161" s="61">
        <f>EFEITO!$N$161*EFEITO!$AA$164</f>
        <v>3858.2068904246185</v>
      </c>
      <c r="M161" s="61">
        <f>$J$161-EFEITO!$K$161*EFEITO!$Y$161</f>
        <v>0</v>
      </c>
      <c r="N161" s="61">
        <f ca="1">$K$161-EFEITO!$M$161*EFEITO!$Z$161</f>
        <v>1867.047579991664</v>
      </c>
      <c r="O161" s="61">
        <f>$L$161-EFEITO!$O$161*EFEITO!$AA$161</f>
        <v>385.82068904246171</v>
      </c>
      <c r="P161" s="45"/>
      <c r="Q161" s="45"/>
      <c r="R161" s="45"/>
      <c r="S161" s="45"/>
      <c r="T161" s="45"/>
      <c r="U161" s="45"/>
      <c r="V161" s="45"/>
      <c r="W161" s="45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1.25" customHeight="1" x14ac:dyDescent="0.2">
      <c r="A162" s="41" t="s">
        <v>21</v>
      </c>
      <c r="B162" s="41" t="s">
        <v>22</v>
      </c>
      <c r="C162" s="41" t="s">
        <v>23</v>
      </c>
      <c r="D162" s="41" t="s">
        <v>24</v>
      </c>
      <c r="E162" s="41" t="s">
        <v>31</v>
      </c>
      <c r="F162" s="41" t="s">
        <v>25</v>
      </c>
      <c r="G162" s="41" t="s">
        <v>25</v>
      </c>
      <c r="H162" s="41" t="s">
        <v>25</v>
      </c>
      <c r="I162" s="60">
        <v>44682</v>
      </c>
      <c r="J162" s="61">
        <f>EFEITO!$J$162*EFEITO!$Y$94</f>
        <v>0</v>
      </c>
      <c r="K162" s="61">
        <f ca="1">EFEITO!$L$162*EFEITO!$Z$164</f>
        <v>18097.481838648146</v>
      </c>
      <c r="L162" s="61">
        <f>EFEITO!$N$162*EFEITO!$AA$164</f>
        <v>3739.7991287141404</v>
      </c>
      <c r="M162" s="61">
        <f>$J$162-EFEITO!$K$162*EFEITO!$Y$162</f>
        <v>0</v>
      </c>
      <c r="N162" s="61">
        <f ca="1">$K$162-EFEITO!$M$162*EFEITO!$Z$162</f>
        <v>1809.7481838648146</v>
      </c>
      <c r="O162" s="61">
        <f>$L$162-EFEITO!$O$162*EFEITO!$AA$162</f>
        <v>373.97991287141349</v>
      </c>
      <c r="P162" s="45"/>
      <c r="Q162" s="45"/>
      <c r="R162" s="45"/>
      <c r="S162" s="45"/>
      <c r="T162" s="45"/>
      <c r="U162" s="45"/>
      <c r="V162" s="45"/>
      <c r="W162" s="45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1.25" customHeight="1" x14ac:dyDescent="0.2">
      <c r="A163" s="41" t="s">
        <v>21</v>
      </c>
      <c r="B163" s="41" t="s">
        <v>22</v>
      </c>
      <c r="C163" s="41" t="s">
        <v>23</v>
      </c>
      <c r="D163" s="41" t="s">
        <v>24</v>
      </c>
      <c r="E163" s="41" t="s">
        <v>31</v>
      </c>
      <c r="F163" s="41" t="s">
        <v>25</v>
      </c>
      <c r="G163" s="41" t="s">
        <v>25</v>
      </c>
      <c r="H163" s="41" t="s">
        <v>25</v>
      </c>
      <c r="I163" s="60">
        <v>44713</v>
      </c>
      <c r="J163" s="61">
        <f>EFEITO!$J$163*EFEITO!$Y$94</f>
        <v>0</v>
      </c>
      <c r="K163" s="61">
        <f ca="1">EFEITO!$L$163*EFEITO!$Z$164</f>
        <v>20330.299015154564</v>
      </c>
      <c r="L163" s="61">
        <f>EFEITO!$N$163*EFEITO!$AA$164</f>
        <v>4201.205185408955</v>
      </c>
      <c r="M163" s="61">
        <f>$J$163-EFEITO!$K$163*EFEITO!$Y$163</f>
        <v>0</v>
      </c>
      <c r="N163" s="61">
        <f ca="1">$K$163-EFEITO!$M$163*EFEITO!$Z$163</f>
        <v>2033.029901515456</v>
      </c>
      <c r="O163" s="61">
        <f>$L$163-EFEITO!$O$163*EFEITO!$AA$163</f>
        <v>420.12051854089532</v>
      </c>
      <c r="P163" s="45"/>
      <c r="Q163" s="45"/>
      <c r="R163" s="45"/>
      <c r="S163" s="45"/>
      <c r="T163" s="45"/>
      <c r="U163" s="45"/>
      <c r="V163" s="45"/>
      <c r="W163" s="45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1.25" customHeight="1" x14ac:dyDescent="0.2">
      <c r="A164" s="41" t="s">
        <v>21</v>
      </c>
      <c r="B164" s="41" t="s">
        <v>22</v>
      </c>
      <c r="C164" s="41" t="s">
        <v>23</v>
      </c>
      <c r="D164" s="41" t="s">
        <v>24</v>
      </c>
      <c r="E164" s="41" t="s">
        <v>32</v>
      </c>
      <c r="F164" s="41" t="s">
        <v>25</v>
      </c>
      <c r="G164" s="41" t="s">
        <v>25</v>
      </c>
      <c r="H164" s="41" t="s">
        <v>25</v>
      </c>
      <c r="I164" s="60">
        <v>44378</v>
      </c>
      <c r="J164" s="61">
        <f>EFEITO!$J$164*EFEITO!$Y$94</f>
        <v>0</v>
      </c>
      <c r="K164" s="61">
        <f ca="1">EFEITO!$L$164*EFEITO!$Z$164</f>
        <v>1597.2840513236663</v>
      </c>
      <c r="L164" s="61">
        <f>EFEITO!$N$164*EFEITO!$AA$164</f>
        <v>330.07473397168792</v>
      </c>
      <c r="M164" s="61">
        <f>$J$164-EFEITO!$K$164*EFEITO!$Y$164</f>
        <v>0</v>
      </c>
      <c r="N164" s="61">
        <f ca="1">$K$164-EFEITO!$M$164*EFEITO!$Z$164</f>
        <v>0</v>
      </c>
      <c r="O164" s="61">
        <f>$L$164-EFEITO!$O$164*EFEITO!$AA$164</f>
        <v>0</v>
      </c>
      <c r="P164" s="45"/>
      <c r="Q164" s="45"/>
      <c r="R164" s="45"/>
      <c r="S164" s="45"/>
      <c r="T164" s="45"/>
      <c r="U164" s="45"/>
      <c r="V164" s="45"/>
      <c r="W164" s="45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1.25" customHeight="1" x14ac:dyDescent="0.2">
      <c r="A165" s="41" t="s">
        <v>21</v>
      </c>
      <c r="B165" s="41" t="s">
        <v>22</v>
      </c>
      <c r="C165" s="41" t="s">
        <v>23</v>
      </c>
      <c r="D165" s="41" t="s">
        <v>24</v>
      </c>
      <c r="E165" s="41" t="s">
        <v>32</v>
      </c>
      <c r="F165" s="41" t="s">
        <v>25</v>
      </c>
      <c r="G165" s="41" t="s">
        <v>25</v>
      </c>
      <c r="H165" s="41" t="s">
        <v>25</v>
      </c>
      <c r="I165" s="60">
        <v>44409</v>
      </c>
      <c r="J165" s="61">
        <f>EFEITO!$J$165*EFEITO!$Y$94</f>
        <v>0</v>
      </c>
      <c r="K165" s="61">
        <f ca="1">EFEITO!$L$165*EFEITO!$Z$164</f>
        <v>2001.816661147438</v>
      </c>
      <c r="L165" s="61">
        <f>EFEITO!$N$165*EFEITO!$AA$164</f>
        <v>413.67038088233056</v>
      </c>
      <c r="M165" s="61">
        <f>$J$165-EFEITO!$K$165*EFEITO!$Y$165</f>
        <v>0</v>
      </c>
      <c r="N165" s="61">
        <f ca="1">$K$165-EFEITO!$M$165*EFEITO!$Z$165</f>
        <v>0</v>
      </c>
      <c r="O165" s="61">
        <f>$L$165-EFEITO!$O$165*EFEITO!$AA$165</f>
        <v>0</v>
      </c>
      <c r="P165" s="45"/>
      <c r="Q165" s="45"/>
      <c r="R165" s="45"/>
      <c r="S165" s="45"/>
      <c r="T165" s="45"/>
      <c r="U165" s="45"/>
      <c r="V165" s="45"/>
      <c r="W165" s="45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1.25" customHeight="1" x14ac:dyDescent="0.2">
      <c r="A166" s="41" t="s">
        <v>21</v>
      </c>
      <c r="B166" s="41" t="s">
        <v>22</v>
      </c>
      <c r="C166" s="41" t="s">
        <v>23</v>
      </c>
      <c r="D166" s="41" t="s">
        <v>24</v>
      </c>
      <c r="E166" s="41" t="s">
        <v>32</v>
      </c>
      <c r="F166" s="41" t="s">
        <v>25</v>
      </c>
      <c r="G166" s="41" t="s">
        <v>25</v>
      </c>
      <c r="H166" s="41" t="s">
        <v>25</v>
      </c>
      <c r="I166" s="60">
        <v>44440</v>
      </c>
      <c r="J166" s="61">
        <f>EFEITO!$J$166*EFEITO!$Y$94</f>
        <v>0</v>
      </c>
      <c r="K166" s="61">
        <f ca="1">EFEITO!$L$166*EFEITO!$Z$164</f>
        <v>1653.6256404356122</v>
      </c>
      <c r="L166" s="61">
        <f>EFEITO!$N$166*EFEITO!$AA$164</f>
        <v>341.71758173083037</v>
      </c>
      <c r="M166" s="61">
        <f>$J$166-EFEITO!$K$166*EFEITO!$Y$166</f>
        <v>0</v>
      </c>
      <c r="N166" s="61">
        <f ca="1">$K$166-EFEITO!$M$166*EFEITO!$Z$166</f>
        <v>0</v>
      </c>
      <c r="O166" s="61">
        <f>$L$166-EFEITO!$O$166*EFEITO!$AA$166</f>
        <v>0</v>
      </c>
      <c r="P166" s="45"/>
      <c r="Q166" s="45"/>
      <c r="R166" s="45"/>
      <c r="S166" s="45"/>
      <c r="T166" s="45"/>
      <c r="U166" s="45"/>
      <c r="V166" s="45"/>
      <c r="W166" s="45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1.25" customHeight="1" x14ac:dyDescent="0.2">
      <c r="A167" s="41" t="s">
        <v>21</v>
      </c>
      <c r="B167" s="41" t="s">
        <v>22</v>
      </c>
      <c r="C167" s="41" t="s">
        <v>23</v>
      </c>
      <c r="D167" s="41" t="s">
        <v>24</v>
      </c>
      <c r="E167" s="41" t="s">
        <v>32</v>
      </c>
      <c r="F167" s="41" t="s">
        <v>25</v>
      </c>
      <c r="G167" s="41" t="s">
        <v>25</v>
      </c>
      <c r="H167" s="41" t="s">
        <v>25</v>
      </c>
      <c r="I167" s="60">
        <v>44470</v>
      </c>
      <c r="J167" s="61">
        <f>EFEITO!$J$167*EFEITO!$Y$94</f>
        <v>0</v>
      </c>
      <c r="K167" s="61">
        <f ca="1">EFEITO!$L$167*EFEITO!$Z$164</f>
        <v>2050.2704277837115</v>
      </c>
      <c r="L167" s="61">
        <f>EFEITO!$N$167*EFEITO!$AA$164</f>
        <v>423.68322995519304</v>
      </c>
      <c r="M167" s="61">
        <f>$J$167-EFEITO!$K$167*EFEITO!$Y$167</f>
        <v>0</v>
      </c>
      <c r="N167" s="61">
        <f ca="1">$K$167-EFEITO!$M$167*EFEITO!$Z$167</f>
        <v>0</v>
      </c>
      <c r="O167" s="61">
        <f>$L$167-EFEITO!$O$167*EFEITO!$AA$167</f>
        <v>0</v>
      </c>
      <c r="P167" s="45"/>
      <c r="Q167" s="45"/>
      <c r="R167" s="45"/>
      <c r="S167" s="45"/>
      <c r="T167" s="45"/>
      <c r="U167" s="45"/>
      <c r="V167" s="45"/>
      <c r="W167" s="45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1.25" customHeight="1" x14ac:dyDescent="0.2">
      <c r="A168" s="41" t="s">
        <v>21</v>
      </c>
      <c r="B168" s="41" t="s">
        <v>22</v>
      </c>
      <c r="C168" s="41" t="s">
        <v>23</v>
      </c>
      <c r="D168" s="41" t="s">
        <v>24</v>
      </c>
      <c r="E168" s="41" t="s">
        <v>32</v>
      </c>
      <c r="F168" s="41" t="s">
        <v>25</v>
      </c>
      <c r="G168" s="41" t="s">
        <v>25</v>
      </c>
      <c r="H168" s="41" t="s">
        <v>25</v>
      </c>
      <c r="I168" s="60">
        <v>44501</v>
      </c>
      <c r="J168" s="61">
        <f>EFEITO!$J$168*EFEITO!$Y$94</f>
        <v>0</v>
      </c>
      <c r="K168" s="61">
        <f ca="1">EFEITO!$L$168*EFEITO!$Z$164</f>
        <v>1733.6306969745754</v>
      </c>
      <c r="L168" s="61">
        <f>EFEITO!$N$168*EFEITO!$AA$164</f>
        <v>358.25042554881259</v>
      </c>
      <c r="M168" s="61">
        <f>$J$168-EFEITO!$K$168*EFEITO!$Y$168</f>
        <v>0</v>
      </c>
      <c r="N168" s="61">
        <f ca="1">$K$168-EFEITO!$M$168*EFEITO!$Z$168</f>
        <v>0</v>
      </c>
      <c r="O168" s="61">
        <f>$L$168-EFEITO!$O$168*EFEITO!$AA$168</f>
        <v>0</v>
      </c>
      <c r="P168" s="45"/>
      <c r="Q168" s="45"/>
      <c r="R168" s="45"/>
      <c r="S168" s="45"/>
      <c r="T168" s="45"/>
      <c r="U168" s="45"/>
      <c r="V168" s="45"/>
      <c r="W168" s="45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1.25" customHeight="1" x14ac:dyDescent="0.2">
      <c r="A169" s="41" t="s">
        <v>21</v>
      </c>
      <c r="B169" s="41" t="s">
        <v>22</v>
      </c>
      <c r="C169" s="41" t="s">
        <v>23</v>
      </c>
      <c r="D169" s="41" t="s">
        <v>24</v>
      </c>
      <c r="E169" s="41" t="s">
        <v>32</v>
      </c>
      <c r="F169" s="41" t="s">
        <v>25</v>
      </c>
      <c r="G169" s="41" t="s">
        <v>25</v>
      </c>
      <c r="H169" s="41" t="s">
        <v>25</v>
      </c>
      <c r="I169" s="60">
        <v>44531</v>
      </c>
      <c r="J169" s="61">
        <f>EFEITO!$J$169*EFEITO!$Y$94</f>
        <v>0</v>
      </c>
      <c r="K169" s="61">
        <f ca="1">EFEITO!$L$169*EFEITO!$Z$164</f>
        <v>1220.9222360558676</v>
      </c>
      <c r="L169" s="61">
        <f>EFEITO!$N$169*EFEITO!$AA$164</f>
        <v>252.30051094061645</v>
      </c>
      <c r="M169" s="61">
        <f>$J$169-EFEITO!$K$169*EFEITO!$Y$169</f>
        <v>0</v>
      </c>
      <c r="N169" s="61">
        <f ca="1">$K$169-EFEITO!$M$169*EFEITO!$Z$169</f>
        <v>0</v>
      </c>
      <c r="O169" s="61">
        <f>$L$169-EFEITO!$O$169*EFEITO!$AA$169</f>
        <v>0</v>
      </c>
      <c r="P169" s="45"/>
      <c r="Q169" s="45"/>
      <c r="R169" s="45"/>
      <c r="S169" s="45"/>
      <c r="T169" s="45"/>
      <c r="U169" s="45"/>
      <c r="V169" s="45"/>
      <c r="W169" s="45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1.25" customHeight="1" x14ac:dyDescent="0.2">
      <c r="A170" s="41" t="s">
        <v>21</v>
      </c>
      <c r="B170" s="41" t="s">
        <v>22</v>
      </c>
      <c r="C170" s="41" t="s">
        <v>23</v>
      </c>
      <c r="D170" s="41" t="s">
        <v>24</v>
      </c>
      <c r="E170" s="41" t="s">
        <v>32</v>
      </c>
      <c r="F170" s="41" t="s">
        <v>25</v>
      </c>
      <c r="G170" s="41" t="s">
        <v>25</v>
      </c>
      <c r="H170" s="41" t="s">
        <v>25</v>
      </c>
      <c r="I170" s="60">
        <v>44562</v>
      </c>
      <c r="J170" s="61">
        <f>EFEITO!$J$170*EFEITO!$Y$94</f>
        <v>0</v>
      </c>
      <c r="K170" s="61">
        <f ca="1">EFEITO!$L$170*EFEITO!$Z$164</f>
        <v>2040.1289417435612</v>
      </c>
      <c r="L170" s="61">
        <f>EFEITO!$N$170*EFEITO!$AA$164</f>
        <v>421.58751735854742</v>
      </c>
      <c r="M170" s="61">
        <f>$J$170-EFEITO!$K$170*EFEITO!$Y$170</f>
        <v>0</v>
      </c>
      <c r="N170" s="61">
        <f ca="1">$K$170-EFEITO!$M$170*EFEITO!$Z$170</f>
        <v>0</v>
      </c>
      <c r="O170" s="61">
        <f>$L$170-EFEITO!$O$170*EFEITO!$AA$170</f>
        <v>0</v>
      </c>
      <c r="P170" s="45"/>
      <c r="Q170" s="45"/>
      <c r="R170" s="45"/>
      <c r="S170" s="45"/>
      <c r="T170" s="45"/>
      <c r="U170" s="45"/>
      <c r="V170" s="45"/>
      <c r="W170" s="45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1.25" customHeight="1" x14ac:dyDescent="0.2">
      <c r="A171" s="41" t="s">
        <v>27</v>
      </c>
      <c r="B171" s="41" t="s">
        <v>22</v>
      </c>
      <c r="C171" s="41" t="s">
        <v>23</v>
      </c>
      <c r="D171" s="41" t="s">
        <v>24</v>
      </c>
      <c r="E171" s="41" t="s">
        <v>32</v>
      </c>
      <c r="F171" s="41" t="s">
        <v>25</v>
      </c>
      <c r="G171" s="41" t="s">
        <v>25</v>
      </c>
      <c r="H171" s="41" t="s">
        <v>25</v>
      </c>
      <c r="I171" s="60">
        <v>44562</v>
      </c>
      <c r="J171" s="61">
        <f>EFEITO!$J$171*EFEITO!$Y$94</f>
        <v>0</v>
      </c>
      <c r="K171" s="61">
        <f ca="1">EFEITO!$L$171*EFEITO!$Z$164</f>
        <v>16.339060842464313</v>
      </c>
      <c r="L171" s="61">
        <f>EFEITO!$N$171*EFEITO!$AA$164</f>
        <v>3.3764258501513051</v>
      </c>
      <c r="M171" s="61">
        <f>$J$171-EFEITO!$K$171*EFEITO!$Y$171</f>
        <v>0</v>
      </c>
      <c r="N171" s="61">
        <f ca="1">$K$171-EFEITO!$M$171*EFEITO!$Z$171</f>
        <v>0</v>
      </c>
      <c r="O171" s="61">
        <f>$L$171-EFEITO!$O$171*EFEITO!$AA$171</f>
        <v>0</v>
      </c>
      <c r="P171" s="45"/>
      <c r="Q171" s="45"/>
      <c r="R171" s="45"/>
      <c r="S171" s="45"/>
      <c r="T171" s="45"/>
      <c r="U171" s="45"/>
      <c r="V171" s="45"/>
      <c r="W171" s="45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1.25" customHeight="1" x14ac:dyDescent="0.2">
      <c r="A172" s="41" t="s">
        <v>21</v>
      </c>
      <c r="B172" s="41" t="s">
        <v>22</v>
      </c>
      <c r="C172" s="41" t="s">
        <v>23</v>
      </c>
      <c r="D172" s="41" t="s">
        <v>24</v>
      </c>
      <c r="E172" s="41" t="s">
        <v>32</v>
      </c>
      <c r="F172" s="41" t="s">
        <v>25</v>
      </c>
      <c r="G172" s="41" t="s">
        <v>25</v>
      </c>
      <c r="H172" s="41" t="s">
        <v>25</v>
      </c>
      <c r="I172" s="60">
        <v>44593</v>
      </c>
      <c r="J172" s="61">
        <f>EFEITO!$J$172*EFEITO!$Y$94</f>
        <v>0</v>
      </c>
      <c r="K172" s="61">
        <f ca="1">EFEITO!$L$172*EFEITO!$Z$164</f>
        <v>2889.7601055517052</v>
      </c>
      <c r="L172" s="61">
        <f>EFEITO!$N$172*EFEITO!$AA$164</f>
        <v>597.16166156641521</v>
      </c>
      <c r="M172" s="61">
        <f>$J$172-EFEITO!$K$172*EFEITO!$Y$172</f>
        <v>0</v>
      </c>
      <c r="N172" s="61">
        <f ca="1">$K$172-EFEITO!$M$172*EFEITO!$Z$172</f>
        <v>0</v>
      </c>
      <c r="O172" s="61">
        <f>$L$172-EFEITO!$O$172*EFEITO!$AA$172</f>
        <v>0</v>
      </c>
      <c r="P172" s="45"/>
      <c r="Q172" s="45"/>
      <c r="R172" s="45"/>
      <c r="S172" s="45"/>
      <c r="T172" s="45"/>
      <c r="U172" s="45"/>
      <c r="V172" s="45"/>
      <c r="W172" s="45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1.25" customHeight="1" x14ac:dyDescent="0.2">
      <c r="A173" s="41" t="s">
        <v>21</v>
      </c>
      <c r="B173" s="41" t="s">
        <v>22</v>
      </c>
      <c r="C173" s="41" t="s">
        <v>23</v>
      </c>
      <c r="D173" s="41" t="s">
        <v>24</v>
      </c>
      <c r="E173" s="41" t="s">
        <v>32</v>
      </c>
      <c r="F173" s="41" t="s">
        <v>25</v>
      </c>
      <c r="G173" s="41" t="s">
        <v>25</v>
      </c>
      <c r="H173" s="41" t="s">
        <v>25</v>
      </c>
      <c r="I173" s="60">
        <v>44621</v>
      </c>
      <c r="J173" s="61">
        <f>EFEITO!$J$173*EFEITO!$Y$94</f>
        <v>0</v>
      </c>
      <c r="K173" s="61">
        <f ca="1">EFEITO!$L$173*EFEITO!$Z$164</f>
        <v>4089.2725377450338</v>
      </c>
      <c r="L173" s="61">
        <f>EFEITO!$N$173*EFEITO!$AA$164</f>
        <v>845.03789035855766</v>
      </c>
      <c r="M173" s="61">
        <f>$J$173-EFEITO!$K$173*EFEITO!$Y$173</f>
        <v>0</v>
      </c>
      <c r="N173" s="61">
        <f ca="1">$K$173-EFEITO!$M$173*EFEITO!$Z$173</f>
        <v>0</v>
      </c>
      <c r="O173" s="61">
        <f>$L$173-EFEITO!$O$173*EFEITO!$AA$173</f>
        <v>0</v>
      </c>
      <c r="P173" s="45"/>
      <c r="Q173" s="45"/>
      <c r="R173" s="45"/>
      <c r="S173" s="45"/>
      <c r="T173" s="45"/>
      <c r="U173" s="45"/>
      <c r="V173" s="45"/>
      <c r="W173" s="45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1.25" customHeight="1" x14ac:dyDescent="0.2">
      <c r="A174" s="41" t="s">
        <v>21</v>
      </c>
      <c r="B174" s="41" t="s">
        <v>22</v>
      </c>
      <c r="C174" s="41" t="s">
        <v>23</v>
      </c>
      <c r="D174" s="41" t="s">
        <v>24</v>
      </c>
      <c r="E174" s="41" t="s">
        <v>32</v>
      </c>
      <c r="F174" s="41" t="s">
        <v>25</v>
      </c>
      <c r="G174" s="41" t="s">
        <v>25</v>
      </c>
      <c r="H174" s="41" t="s">
        <v>25</v>
      </c>
      <c r="I174" s="60">
        <v>44652</v>
      </c>
      <c r="J174" s="61">
        <f>EFEITO!$J$174*EFEITO!$Y$94</f>
        <v>0</v>
      </c>
      <c r="K174" s="61">
        <f ca="1">EFEITO!$L$174*EFEITO!$Z$164</f>
        <v>7638.7926517976257</v>
      </c>
      <c r="L174" s="61">
        <f>EFEITO!$N$174*EFEITO!$AA$164</f>
        <v>1578.5372991845309</v>
      </c>
      <c r="M174" s="61">
        <f>$J$174-EFEITO!$K$174*EFEITO!$Y$174</f>
        <v>0</v>
      </c>
      <c r="N174" s="61">
        <f ca="1">$K$174-EFEITO!$M$174*EFEITO!$Z$174</f>
        <v>0</v>
      </c>
      <c r="O174" s="61">
        <f>$L$174-EFEITO!$O$174*EFEITO!$AA$174</f>
        <v>0</v>
      </c>
      <c r="P174" s="45"/>
      <c r="Q174" s="45"/>
      <c r="R174" s="45"/>
      <c r="S174" s="45"/>
      <c r="T174" s="45"/>
      <c r="U174" s="45"/>
      <c r="V174" s="45"/>
      <c r="W174" s="45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1.25" customHeight="1" x14ac:dyDescent="0.2">
      <c r="A175" s="41" t="s">
        <v>21</v>
      </c>
      <c r="B175" s="41" t="s">
        <v>22</v>
      </c>
      <c r="C175" s="41" t="s">
        <v>23</v>
      </c>
      <c r="D175" s="41" t="s">
        <v>24</v>
      </c>
      <c r="E175" s="41" t="s">
        <v>32</v>
      </c>
      <c r="F175" s="41" t="s">
        <v>25</v>
      </c>
      <c r="G175" s="41" t="s">
        <v>25</v>
      </c>
      <c r="H175" s="41" t="s">
        <v>25</v>
      </c>
      <c r="I175" s="60">
        <v>44682</v>
      </c>
      <c r="J175" s="61">
        <f>EFEITO!$J$175*EFEITO!$Y$94</f>
        <v>0</v>
      </c>
      <c r="K175" s="61">
        <f ca="1">EFEITO!$L$175*EFEITO!$Z$164</f>
        <v>6807.1907965053042</v>
      </c>
      <c r="L175" s="61">
        <f>EFEITO!$N$175*EFEITO!$AA$164</f>
        <v>1406.6888662595886</v>
      </c>
      <c r="M175" s="61">
        <f>$J$175-EFEITO!$K$175*EFEITO!$Y$175</f>
        <v>0</v>
      </c>
      <c r="N175" s="61">
        <f ca="1">$K$175-EFEITO!$M$175*EFEITO!$Z$175</f>
        <v>0</v>
      </c>
      <c r="O175" s="61">
        <f>$L$175-EFEITO!$O$175*EFEITO!$AA$175</f>
        <v>0</v>
      </c>
      <c r="P175" s="45"/>
      <c r="Q175" s="45"/>
      <c r="R175" s="45"/>
      <c r="S175" s="45"/>
      <c r="T175" s="45"/>
      <c r="U175" s="45"/>
      <c r="V175" s="45"/>
      <c r="W175" s="45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1.25" customHeight="1" x14ac:dyDescent="0.2">
      <c r="A176" s="41" t="s">
        <v>21</v>
      </c>
      <c r="B176" s="41" t="s">
        <v>22</v>
      </c>
      <c r="C176" s="41" t="s">
        <v>23</v>
      </c>
      <c r="D176" s="41" t="s">
        <v>24</v>
      </c>
      <c r="E176" s="41" t="s">
        <v>32</v>
      </c>
      <c r="F176" s="41" t="s">
        <v>25</v>
      </c>
      <c r="G176" s="41" t="s">
        <v>25</v>
      </c>
      <c r="H176" s="41" t="s">
        <v>25</v>
      </c>
      <c r="I176" s="60">
        <v>44713</v>
      </c>
      <c r="J176" s="61">
        <f>EFEITO!$J$176*EFEITO!$Y$94</f>
        <v>0</v>
      </c>
      <c r="K176" s="61">
        <f ca="1">EFEITO!$L$176*EFEITO!$Z$164</f>
        <v>8691.8169522998942</v>
      </c>
      <c r="L176" s="61">
        <f>EFEITO!$N$176*EFEITO!$AA$164</f>
        <v>1796.1421238029029</v>
      </c>
      <c r="M176" s="61">
        <f>$J$176-EFEITO!$K$176*EFEITO!$Y$176</f>
        <v>0</v>
      </c>
      <c r="N176" s="61">
        <f ca="1">$K$176-EFEITO!$M$176*EFEITO!$Z$176</f>
        <v>0</v>
      </c>
      <c r="O176" s="61">
        <f>$L$176-EFEITO!$O$176*EFEITO!$AA$176</f>
        <v>0</v>
      </c>
      <c r="P176" s="45"/>
      <c r="Q176" s="45"/>
      <c r="R176" s="45"/>
      <c r="S176" s="45"/>
      <c r="T176" s="45"/>
      <c r="U176" s="45"/>
      <c r="V176" s="45"/>
      <c r="W176" s="45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1.25" customHeight="1" x14ac:dyDescent="0.2">
      <c r="A177" s="41" t="s">
        <v>21</v>
      </c>
      <c r="B177" s="41" t="s">
        <v>41</v>
      </c>
      <c r="C177" s="41" t="s">
        <v>23</v>
      </c>
      <c r="D177" s="41" t="s">
        <v>42</v>
      </c>
      <c r="E177" s="41" t="s">
        <v>25</v>
      </c>
      <c r="F177" s="41" t="s">
        <v>25</v>
      </c>
      <c r="G177" s="41" t="s">
        <v>25</v>
      </c>
      <c r="H177" s="41" t="s">
        <v>25</v>
      </c>
      <c r="I177" s="60">
        <v>44378</v>
      </c>
      <c r="J177" s="61">
        <f>EFEITO!$J$177*EFEITO!$Y$94</f>
        <v>0</v>
      </c>
      <c r="K177" s="61">
        <f ca="1">EFEITO!$L$177*EFEITO!$Z$94</f>
        <v>36323.929231714428</v>
      </c>
      <c r="L177" s="61">
        <f>EFEITO!$N$177*EFEITO!$AA$94</f>
        <v>6311.354913275929</v>
      </c>
      <c r="M177" s="61">
        <f>$J$177-EFEITO!$K$177*EFEITO!$Y$177</f>
        <v>0</v>
      </c>
      <c r="N177" s="61">
        <f ca="1">$K$177-EFEITO!$M$177*EFEITO!$Z$177</f>
        <v>2179.4357539028715</v>
      </c>
      <c r="O177" s="61">
        <f>$L$177-EFEITO!$O$177*EFEITO!$AA$177</f>
        <v>378.68129479655636</v>
      </c>
      <c r="P177" s="45"/>
      <c r="Q177" s="45"/>
      <c r="R177" s="45"/>
      <c r="S177" s="45"/>
      <c r="T177" s="45"/>
      <c r="U177" s="45"/>
      <c r="V177" s="45"/>
      <c r="W177" s="45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1.25" customHeight="1" x14ac:dyDescent="0.2">
      <c r="A178" s="41" t="s">
        <v>21</v>
      </c>
      <c r="B178" s="41" t="s">
        <v>41</v>
      </c>
      <c r="C178" s="41" t="s">
        <v>23</v>
      </c>
      <c r="D178" s="41" t="s">
        <v>42</v>
      </c>
      <c r="E178" s="41" t="s">
        <v>25</v>
      </c>
      <c r="F178" s="41" t="s">
        <v>25</v>
      </c>
      <c r="G178" s="41" t="s">
        <v>25</v>
      </c>
      <c r="H178" s="41" t="s">
        <v>25</v>
      </c>
      <c r="I178" s="60">
        <v>44409</v>
      </c>
      <c r="J178" s="61">
        <f>EFEITO!$J$178*EFEITO!$Y$94</f>
        <v>0</v>
      </c>
      <c r="K178" s="61">
        <f ca="1">EFEITO!$L$178*EFEITO!$Z$94</f>
        <v>39874.035803984632</v>
      </c>
      <c r="L178" s="61">
        <f>EFEITO!$N$178*EFEITO!$AA$94</f>
        <v>6928.1929875552951</v>
      </c>
      <c r="M178" s="61">
        <f>$J$178-EFEITO!$K$178*EFEITO!$Y$178</f>
        <v>0</v>
      </c>
      <c r="N178" s="61">
        <f ca="1">$K$178-EFEITO!$M$178*EFEITO!$Z$178</f>
        <v>2392.4421482390826</v>
      </c>
      <c r="O178" s="61">
        <f>$L$178-EFEITO!$O$178*EFEITO!$AA$178</f>
        <v>415.6915792533182</v>
      </c>
      <c r="P178" s="45"/>
      <c r="Q178" s="45"/>
      <c r="R178" s="45"/>
      <c r="S178" s="45"/>
      <c r="T178" s="45"/>
      <c r="U178" s="45"/>
      <c r="V178" s="45"/>
      <c r="W178" s="45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1.25" customHeight="1" x14ac:dyDescent="0.2">
      <c r="A179" s="41" t="s">
        <v>21</v>
      </c>
      <c r="B179" s="41" t="s">
        <v>41</v>
      </c>
      <c r="C179" s="41" t="s">
        <v>23</v>
      </c>
      <c r="D179" s="41" t="s">
        <v>42</v>
      </c>
      <c r="E179" s="41" t="s">
        <v>25</v>
      </c>
      <c r="F179" s="41" t="s">
        <v>25</v>
      </c>
      <c r="G179" s="41" t="s">
        <v>25</v>
      </c>
      <c r="H179" s="41" t="s">
        <v>25</v>
      </c>
      <c r="I179" s="60">
        <v>44440</v>
      </c>
      <c r="J179" s="61">
        <f>EFEITO!$J$179*EFEITO!$Y$94</f>
        <v>0</v>
      </c>
      <c r="K179" s="61">
        <f ca="1">EFEITO!$L$179*EFEITO!$Z$94</f>
        <v>37692.911437669129</v>
      </c>
      <c r="L179" s="61">
        <f>EFEITO!$N$179*EFEITO!$AA$94</f>
        <v>6549.2182929952087</v>
      </c>
      <c r="M179" s="61">
        <f>$J$179-EFEITO!$K$179*EFEITO!$Y$179</f>
        <v>0</v>
      </c>
      <c r="N179" s="61">
        <f ca="1">$K$179-EFEITO!$M$179*EFEITO!$Z$179</f>
        <v>2261.5746862601445</v>
      </c>
      <c r="O179" s="61">
        <f>$L$179-EFEITO!$O$179*EFEITO!$AA$179</f>
        <v>392.95309757971336</v>
      </c>
      <c r="P179" s="45"/>
      <c r="Q179" s="45"/>
      <c r="R179" s="45"/>
      <c r="S179" s="45"/>
      <c r="T179" s="45"/>
      <c r="U179" s="45"/>
      <c r="V179" s="45"/>
      <c r="W179" s="45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1.25" customHeight="1" x14ac:dyDescent="0.2">
      <c r="A180" s="41" t="s">
        <v>21</v>
      </c>
      <c r="B180" s="41" t="s">
        <v>41</v>
      </c>
      <c r="C180" s="41" t="s">
        <v>23</v>
      </c>
      <c r="D180" s="41" t="s">
        <v>42</v>
      </c>
      <c r="E180" s="41" t="s">
        <v>25</v>
      </c>
      <c r="F180" s="41" t="s">
        <v>25</v>
      </c>
      <c r="G180" s="41" t="s">
        <v>25</v>
      </c>
      <c r="H180" s="41" t="s">
        <v>25</v>
      </c>
      <c r="I180" s="60">
        <v>44470</v>
      </c>
      <c r="J180" s="61">
        <f>EFEITO!$J$180*EFEITO!$Y$94</f>
        <v>0</v>
      </c>
      <c r="K180" s="61">
        <f ca="1">EFEITO!$L$180*EFEITO!$Z$94</f>
        <v>37924.090517969853</v>
      </c>
      <c r="L180" s="61">
        <f>EFEITO!$N$180*EFEITO!$AA$94</f>
        <v>6589.3861177642502</v>
      </c>
      <c r="M180" s="61">
        <f>$J$180-EFEITO!$K$180*EFEITO!$Y$180</f>
        <v>0</v>
      </c>
      <c r="N180" s="61">
        <f ca="1">$K$180-EFEITO!$M$180*EFEITO!$Z$180</f>
        <v>2275.4454310781948</v>
      </c>
      <c r="O180" s="61">
        <f>$L$180-EFEITO!$O$180*EFEITO!$AA$180</f>
        <v>395.36316706585603</v>
      </c>
      <c r="P180" s="45"/>
      <c r="Q180" s="45"/>
      <c r="R180" s="45"/>
      <c r="S180" s="45"/>
      <c r="T180" s="45"/>
      <c r="U180" s="45"/>
      <c r="V180" s="45"/>
      <c r="W180" s="45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1.25" customHeight="1" x14ac:dyDescent="0.2">
      <c r="A181" s="41" t="s">
        <v>21</v>
      </c>
      <c r="B181" s="41" t="s">
        <v>41</v>
      </c>
      <c r="C181" s="41" t="s">
        <v>23</v>
      </c>
      <c r="D181" s="41" t="s">
        <v>42</v>
      </c>
      <c r="E181" s="41" t="s">
        <v>25</v>
      </c>
      <c r="F181" s="41" t="s">
        <v>25</v>
      </c>
      <c r="G181" s="41" t="s">
        <v>25</v>
      </c>
      <c r="H181" s="41" t="s">
        <v>25</v>
      </c>
      <c r="I181" s="60">
        <v>44501</v>
      </c>
      <c r="J181" s="61">
        <f>EFEITO!$J$181*EFEITO!$Y$94</f>
        <v>0</v>
      </c>
      <c r="K181" s="61">
        <f ca="1">EFEITO!$L$181*EFEITO!$Z$94</f>
        <v>35949.352113198191</v>
      </c>
      <c r="L181" s="61">
        <f>EFEITO!$N$181*EFEITO!$AA$94</f>
        <v>6246.2713943023227</v>
      </c>
      <c r="M181" s="61">
        <f>$J$181-EFEITO!$K$181*EFEITO!$Y$181</f>
        <v>0</v>
      </c>
      <c r="N181" s="61">
        <f ca="1">$K$181-EFEITO!$M$181*EFEITO!$Z$181</f>
        <v>2156.9611267918954</v>
      </c>
      <c r="O181" s="61">
        <f>$L$181-EFEITO!$O$181*EFEITO!$AA$181</f>
        <v>374.77628365813962</v>
      </c>
      <c r="P181" s="45"/>
      <c r="Q181" s="45"/>
      <c r="R181" s="45"/>
      <c r="S181" s="45"/>
      <c r="T181" s="45"/>
      <c r="U181" s="45"/>
      <c r="V181" s="45"/>
      <c r="W181" s="45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1.25" customHeight="1" x14ac:dyDescent="0.2">
      <c r="A182" s="41" t="s">
        <v>21</v>
      </c>
      <c r="B182" s="41" t="s">
        <v>41</v>
      </c>
      <c r="C182" s="41" t="s">
        <v>23</v>
      </c>
      <c r="D182" s="41" t="s">
        <v>42</v>
      </c>
      <c r="E182" s="41" t="s">
        <v>25</v>
      </c>
      <c r="F182" s="41" t="s">
        <v>25</v>
      </c>
      <c r="G182" s="41" t="s">
        <v>25</v>
      </c>
      <c r="H182" s="41" t="s">
        <v>25</v>
      </c>
      <c r="I182" s="60">
        <v>44531</v>
      </c>
      <c r="J182" s="61">
        <f>EFEITO!$J$182*EFEITO!$Y$94</f>
        <v>0</v>
      </c>
      <c r="K182" s="61">
        <f ca="1">EFEITO!$L$182*EFEITO!$Z$94</f>
        <v>38133.826900967317</v>
      </c>
      <c r="L182" s="61">
        <f>EFEITO!$N$182*EFEITO!$AA$94</f>
        <v>6625.8282312503661</v>
      </c>
      <c r="M182" s="61">
        <f>$J$182-EFEITO!$K$182*EFEITO!$Y$182</f>
        <v>0</v>
      </c>
      <c r="N182" s="61">
        <f ca="1">$K$182-EFEITO!$M$182*EFEITO!$Z$182</f>
        <v>2288.0296140580394</v>
      </c>
      <c r="O182" s="61">
        <f>$L$182-EFEITO!$O$182*EFEITO!$AA$182</f>
        <v>397.54969387502297</v>
      </c>
      <c r="P182" s="45"/>
      <c r="Q182" s="45"/>
      <c r="R182" s="45"/>
      <c r="S182" s="45"/>
      <c r="T182" s="45"/>
      <c r="U182" s="45"/>
      <c r="V182" s="45"/>
      <c r="W182" s="45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1.25" customHeight="1" x14ac:dyDescent="0.2">
      <c r="A183" s="41" t="s">
        <v>21</v>
      </c>
      <c r="B183" s="41" t="s">
        <v>41</v>
      </c>
      <c r="C183" s="41" t="s">
        <v>23</v>
      </c>
      <c r="D183" s="41" t="s">
        <v>42</v>
      </c>
      <c r="E183" s="41" t="s">
        <v>25</v>
      </c>
      <c r="F183" s="41" t="s">
        <v>25</v>
      </c>
      <c r="G183" s="41" t="s">
        <v>25</v>
      </c>
      <c r="H183" s="41" t="s">
        <v>25</v>
      </c>
      <c r="I183" s="60">
        <v>44562</v>
      </c>
      <c r="J183" s="61">
        <f>EFEITO!$J$183*EFEITO!$Y$94</f>
        <v>0</v>
      </c>
      <c r="K183" s="61">
        <f ca="1">EFEITO!$L$183*EFEITO!$Z$94</f>
        <v>39557.756018761611</v>
      </c>
      <c r="L183" s="61">
        <f>EFEITO!$N$183*EFEITO!$AA$94</f>
        <v>6873.2387461321423</v>
      </c>
      <c r="M183" s="61">
        <f>$J$183-EFEITO!$K$183*EFEITO!$Y$183</f>
        <v>0</v>
      </c>
      <c r="N183" s="61">
        <f ca="1">$K$183-EFEITO!$M$183*EFEITO!$Z$183</f>
        <v>2373.4653611256945</v>
      </c>
      <c r="O183" s="61">
        <f>$L$183-EFEITO!$O$183*EFEITO!$AA$183</f>
        <v>412.39432476792899</v>
      </c>
      <c r="P183" s="45"/>
      <c r="Q183" s="45"/>
      <c r="R183" s="45"/>
      <c r="S183" s="45"/>
      <c r="T183" s="45"/>
      <c r="U183" s="45"/>
      <c r="V183" s="45"/>
      <c r="W183" s="45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1.25" customHeight="1" x14ac:dyDescent="0.2">
      <c r="A184" s="41" t="s">
        <v>21</v>
      </c>
      <c r="B184" s="41" t="s">
        <v>41</v>
      </c>
      <c r="C184" s="41" t="s">
        <v>23</v>
      </c>
      <c r="D184" s="41" t="s">
        <v>42</v>
      </c>
      <c r="E184" s="41" t="s">
        <v>25</v>
      </c>
      <c r="F184" s="41" t="s">
        <v>25</v>
      </c>
      <c r="G184" s="41" t="s">
        <v>25</v>
      </c>
      <c r="H184" s="41" t="s">
        <v>25</v>
      </c>
      <c r="I184" s="60">
        <v>44593</v>
      </c>
      <c r="J184" s="61">
        <f>EFEITO!$J$184*EFEITO!$Y$94</f>
        <v>0</v>
      </c>
      <c r="K184" s="61">
        <f ca="1">EFEITO!$L$184*EFEITO!$Z$94</f>
        <v>41272.501718731313</v>
      </c>
      <c r="L184" s="61">
        <f>EFEITO!$N$184*EFEITO!$AA$94</f>
        <v>7171.1792202885981</v>
      </c>
      <c r="M184" s="61">
        <f>$J$184-EFEITO!$K$184*EFEITO!$Y$184</f>
        <v>0</v>
      </c>
      <c r="N184" s="61">
        <f ca="1">$K$184-EFEITO!$M$184*EFEITO!$Z$184</f>
        <v>2476.3501031238848</v>
      </c>
      <c r="O184" s="61">
        <f>$L$184-EFEITO!$O$184*EFEITO!$AA$184</f>
        <v>430.27075321731627</v>
      </c>
      <c r="P184" s="45"/>
      <c r="Q184" s="45"/>
      <c r="R184" s="45"/>
      <c r="S184" s="45"/>
      <c r="T184" s="45"/>
      <c r="U184" s="45"/>
      <c r="V184" s="45"/>
      <c r="W184" s="45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1.25" customHeight="1" x14ac:dyDescent="0.2">
      <c r="A185" s="41" t="s">
        <v>28</v>
      </c>
      <c r="B185" s="41" t="s">
        <v>41</v>
      </c>
      <c r="C185" s="41" t="s">
        <v>23</v>
      </c>
      <c r="D185" s="41" t="s">
        <v>42</v>
      </c>
      <c r="E185" s="41" t="s">
        <v>25</v>
      </c>
      <c r="F185" s="41" t="s">
        <v>25</v>
      </c>
      <c r="G185" s="41" t="s">
        <v>25</v>
      </c>
      <c r="H185" s="41" t="s">
        <v>25</v>
      </c>
      <c r="I185" s="60">
        <v>44593</v>
      </c>
      <c r="J185" s="61">
        <f>EFEITO!$J$185*EFEITO!$Y$94</f>
        <v>0</v>
      </c>
      <c r="K185" s="61">
        <f ca="1">EFEITO!$L$185*EFEITO!$Z$94</f>
        <v>81.750283468660712</v>
      </c>
      <c r="L185" s="61">
        <f>EFEITO!$N$185*EFEITO!$AA$94</f>
        <v>14.204274266153766</v>
      </c>
      <c r="M185" s="61">
        <f>$J$185-EFEITO!$K$185*EFEITO!$Y$185</f>
        <v>0</v>
      </c>
      <c r="N185" s="61">
        <f ca="1">$K$185-EFEITO!$M$185*EFEITO!$Z$185</f>
        <v>4.9050170081196427</v>
      </c>
      <c r="O185" s="61">
        <f>$L$185-EFEITO!$O$185*EFEITO!$AA$185</f>
        <v>0.85225645596922739</v>
      </c>
      <c r="P185" s="45"/>
      <c r="Q185" s="45"/>
      <c r="R185" s="45"/>
      <c r="S185" s="45"/>
      <c r="T185" s="45"/>
      <c r="U185" s="45"/>
      <c r="V185" s="45"/>
      <c r="W185" s="45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1.25" customHeight="1" x14ac:dyDescent="0.2">
      <c r="A186" s="41" t="s">
        <v>21</v>
      </c>
      <c r="B186" s="41" t="s">
        <v>41</v>
      </c>
      <c r="C186" s="41" t="s">
        <v>23</v>
      </c>
      <c r="D186" s="41" t="s">
        <v>42</v>
      </c>
      <c r="E186" s="41" t="s">
        <v>25</v>
      </c>
      <c r="F186" s="41" t="s">
        <v>25</v>
      </c>
      <c r="G186" s="41" t="s">
        <v>25</v>
      </c>
      <c r="H186" s="41" t="s">
        <v>25</v>
      </c>
      <c r="I186" s="60">
        <v>44621</v>
      </c>
      <c r="J186" s="61">
        <f>EFEITO!$J$186*EFEITO!$Y$94</f>
        <v>0</v>
      </c>
      <c r="K186" s="61">
        <f ca="1">EFEITO!$L$186*EFEITO!$Z$94</f>
        <v>35613.6398835441</v>
      </c>
      <c r="L186" s="61">
        <f>EFEITO!$N$186*EFEITO!$AA$94</f>
        <v>6187.9407270290194</v>
      </c>
      <c r="M186" s="61">
        <f>$J$186-EFEITO!$K$186*EFEITO!$Y$186</f>
        <v>0</v>
      </c>
      <c r="N186" s="61">
        <f ca="1">$K$186-EFEITO!$M$186*EFEITO!$Z$186</f>
        <v>2136.818393012647</v>
      </c>
      <c r="O186" s="61">
        <f>$L$186-EFEITO!$O$186*EFEITO!$AA$186</f>
        <v>371.27644362174124</v>
      </c>
      <c r="P186" s="45"/>
      <c r="Q186" s="45"/>
      <c r="R186" s="45"/>
      <c r="S186" s="45"/>
      <c r="T186" s="45"/>
      <c r="U186" s="45"/>
      <c r="V186" s="45"/>
      <c r="W186" s="45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1.25" customHeight="1" x14ac:dyDescent="0.2">
      <c r="A187" s="41" t="s">
        <v>28</v>
      </c>
      <c r="B187" s="41" t="s">
        <v>41</v>
      </c>
      <c r="C187" s="41" t="s">
        <v>23</v>
      </c>
      <c r="D187" s="41" t="s">
        <v>42</v>
      </c>
      <c r="E187" s="41" t="s">
        <v>25</v>
      </c>
      <c r="F187" s="41" t="s">
        <v>25</v>
      </c>
      <c r="G187" s="41" t="s">
        <v>25</v>
      </c>
      <c r="H187" s="41" t="s">
        <v>25</v>
      </c>
      <c r="I187" s="60">
        <v>44621</v>
      </c>
      <c r="J187" s="61">
        <f>EFEITO!$J$187*EFEITO!$Y$94</f>
        <v>0</v>
      </c>
      <c r="K187" s="61">
        <f ca="1">EFEITO!$L$187*EFEITO!$Z$94</f>
        <v>235.19958604508125</v>
      </c>
      <c r="L187" s="61">
        <f>EFEITO!$N$187*EFEITO!$AA$94</f>
        <v>40.866395634589928</v>
      </c>
      <c r="M187" s="61">
        <f>$J$187-EFEITO!$K$187*EFEITO!$Y$187</f>
        <v>0</v>
      </c>
      <c r="N187" s="61">
        <f ca="1">$K$187-EFEITO!$M$187*EFEITO!$Z$187</f>
        <v>14.111975162704908</v>
      </c>
      <c r="O187" s="61">
        <f>$L$187-EFEITO!$O$187*EFEITO!$AA$187</f>
        <v>2.4519837380753984</v>
      </c>
      <c r="P187" s="45"/>
      <c r="Q187" s="45"/>
      <c r="R187" s="45"/>
      <c r="S187" s="45"/>
      <c r="T187" s="45"/>
      <c r="U187" s="45"/>
      <c r="V187" s="45"/>
      <c r="W187" s="45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1.25" customHeight="1" x14ac:dyDescent="0.2">
      <c r="A188" s="41" t="s">
        <v>21</v>
      </c>
      <c r="B188" s="41" t="s">
        <v>41</v>
      </c>
      <c r="C188" s="41" t="s">
        <v>23</v>
      </c>
      <c r="D188" s="41" t="s">
        <v>42</v>
      </c>
      <c r="E188" s="41" t="s">
        <v>25</v>
      </c>
      <c r="F188" s="41" t="s">
        <v>25</v>
      </c>
      <c r="G188" s="41" t="s">
        <v>25</v>
      </c>
      <c r="H188" s="41" t="s">
        <v>25</v>
      </c>
      <c r="I188" s="60">
        <v>44652</v>
      </c>
      <c r="J188" s="61">
        <f>EFEITO!$J$188*EFEITO!$Y$94</f>
        <v>0</v>
      </c>
      <c r="K188" s="61">
        <f ca="1">EFEITO!$L$188*EFEITO!$Z$94</f>
        <v>35838.78820522828</v>
      </c>
      <c r="L188" s="61">
        <f>EFEITO!$N$188*EFEITO!$AA$94</f>
        <v>6227.0606954997384</v>
      </c>
      <c r="M188" s="61">
        <f>$J$188-EFEITO!$K$188*EFEITO!$Y$188</f>
        <v>0</v>
      </c>
      <c r="N188" s="61">
        <f ca="1">$K$188-EFEITO!$M$188*EFEITO!$Z$188</f>
        <v>2150.3272923136974</v>
      </c>
      <c r="O188" s="61">
        <f>$L$188-EFEITO!$O$188*EFEITO!$AA$188</f>
        <v>373.62364172998514</v>
      </c>
      <c r="P188" s="45"/>
      <c r="Q188" s="45"/>
      <c r="R188" s="45"/>
      <c r="S188" s="45"/>
      <c r="T188" s="45"/>
      <c r="U188" s="45"/>
      <c r="V188" s="45"/>
      <c r="W188" s="45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1.25" customHeight="1" x14ac:dyDescent="0.2">
      <c r="A189" s="41" t="s">
        <v>28</v>
      </c>
      <c r="B189" s="41" t="s">
        <v>41</v>
      </c>
      <c r="C189" s="41" t="s">
        <v>23</v>
      </c>
      <c r="D189" s="41" t="s">
        <v>42</v>
      </c>
      <c r="E189" s="41" t="s">
        <v>25</v>
      </c>
      <c r="F189" s="41" t="s">
        <v>25</v>
      </c>
      <c r="G189" s="41" t="s">
        <v>25</v>
      </c>
      <c r="H189" s="41" t="s">
        <v>25</v>
      </c>
      <c r="I189" s="60">
        <v>44652</v>
      </c>
      <c r="J189" s="61">
        <f>EFEITO!$J$189*EFEITO!$Y$94</f>
        <v>0</v>
      </c>
      <c r="K189" s="61">
        <f ca="1">EFEITO!$L$189*EFEITO!$Z$94</f>
        <v>281.43540210522542</v>
      </c>
      <c r="L189" s="61">
        <f>EFEITO!$N$189*EFEITO!$AA$94</f>
        <v>48.899960588398208</v>
      </c>
      <c r="M189" s="61">
        <f>$J$189-EFEITO!$K$189*EFEITO!$Y$189</f>
        <v>0</v>
      </c>
      <c r="N189" s="61">
        <f ca="1">$K$189-EFEITO!$M$189*EFEITO!$Z$189</f>
        <v>16.886124126313518</v>
      </c>
      <c r="O189" s="61">
        <f>$L$189-EFEITO!$O$189*EFEITO!$AA$189</f>
        <v>2.9339976353038963</v>
      </c>
      <c r="P189" s="45"/>
      <c r="Q189" s="45"/>
      <c r="R189" s="45"/>
      <c r="S189" s="45"/>
      <c r="T189" s="45"/>
      <c r="U189" s="45"/>
      <c r="V189" s="45"/>
      <c r="W189" s="45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1.25" customHeight="1" x14ac:dyDescent="0.2">
      <c r="A190" s="41" t="s">
        <v>21</v>
      </c>
      <c r="B190" s="41" t="s">
        <v>41</v>
      </c>
      <c r="C190" s="41" t="s">
        <v>23</v>
      </c>
      <c r="D190" s="41" t="s">
        <v>42</v>
      </c>
      <c r="E190" s="41" t="s">
        <v>25</v>
      </c>
      <c r="F190" s="41" t="s">
        <v>25</v>
      </c>
      <c r="G190" s="41" t="s">
        <v>25</v>
      </c>
      <c r="H190" s="41" t="s">
        <v>25</v>
      </c>
      <c r="I190" s="60">
        <v>44682</v>
      </c>
      <c r="J190" s="61">
        <f>EFEITO!$J$190*EFEITO!$Y$94</f>
        <v>0</v>
      </c>
      <c r="K190" s="61">
        <f ca="1">EFEITO!$L$190*EFEITO!$Z$94</f>
        <v>36174.500434882371</v>
      </c>
      <c r="L190" s="61">
        <f>EFEITO!$N$190*EFEITO!$AA$94</f>
        <v>6285.3913627730417</v>
      </c>
      <c r="M190" s="61">
        <f>$J$190-EFEITO!$K$190*EFEITO!$Y$190</f>
        <v>0</v>
      </c>
      <c r="N190" s="61">
        <f ca="1">$K$190-EFEITO!$M$190*EFEITO!$Z$190</f>
        <v>2170.4700260929458</v>
      </c>
      <c r="O190" s="61">
        <f>$L$190-EFEITO!$O$190*EFEITO!$AA$190</f>
        <v>377.12348176638352</v>
      </c>
      <c r="P190" s="45"/>
      <c r="Q190" s="45"/>
      <c r="R190" s="45"/>
      <c r="S190" s="45"/>
      <c r="T190" s="45"/>
      <c r="U190" s="45"/>
      <c r="V190" s="45"/>
      <c r="W190" s="45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1.25" customHeight="1" x14ac:dyDescent="0.2">
      <c r="A191" s="41" t="s">
        <v>28</v>
      </c>
      <c r="B191" s="41" t="s">
        <v>41</v>
      </c>
      <c r="C191" s="41" t="s">
        <v>23</v>
      </c>
      <c r="D191" s="41" t="s">
        <v>42</v>
      </c>
      <c r="E191" s="41" t="s">
        <v>25</v>
      </c>
      <c r="F191" s="41" t="s">
        <v>25</v>
      </c>
      <c r="G191" s="41" t="s">
        <v>25</v>
      </c>
      <c r="H191" s="41" t="s">
        <v>25</v>
      </c>
      <c r="I191" s="60">
        <v>44682</v>
      </c>
      <c r="J191" s="61">
        <f>EFEITO!$J$191*EFEITO!$Y$94</f>
        <v>0</v>
      </c>
      <c r="K191" s="61">
        <f ca="1">EFEITO!$L$191*EFEITO!$Z$94</f>
        <v>422.15310315783813</v>
      </c>
      <c r="L191" s="61">
        <f>EFEITO!$N$191*EFEITO!$AA$94</f>
        <v>73.349940882597323</v>
      </c>
      <c r="M191" s="61">
        <f>$J$191-EFEITO!$K$191*EFEITO!$Y$191</f>
        <v>0</v>
      </c>
      <c r="N191" s="61">
        <f ca="1">$K$191-EFEITO!$M$191*EFEITO!$Z$191</f>
        <v>25.329186189470306</v>
      </c>
      <c r="O191" s="61">
        <f>$L$191-EFEITO!$O$191*EFEITO!$AA$191</f>
        <v>4.4009964529558516</v>
      </c>
      <c r="P191" s="45"/>
      <c r="Q191" s="45"/>
      <c r="R191" s="45"/>
      <c r="S191" s="45"/>
      <c r="T191" s="45"/>
      <c r="U191" s="45"/>
      <c r="V191" s="45"/>
      <c r="W191" s="45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1.25" customHeight="1" x14ac:dyDescent="0.2">
      <c r="A192" s="41" t="s">
        <v>21</v>
      </c>
      <c r="B192" s="41" t="s">
        <v>41</v>
      </c>
      <c r="C192" s="41" t="s">
        <v>23</v>
      </c>
      <c r="D192" s="41" t="s">
        <v>42</v>
      </c>
      <c r="E192" s="41" t="s">
        <v>25</v>
      </c>
      <c r="F192" s="41" t="s">
        <v>25</v>
      </c>
      <c r="G192" s="41" t="s">
        <v>25</v>
      </c>
      <c r="H192" s="41" t="s">
        <v>25</v>
      </c>
      <c r="I192" s="60">
        <v>44713</v>
      </c>
      <c r="J192" s="61">
        <f>EFEITO!$J$192*EFEITO!$Y$94</f>
        <v>0</v>
      </c>
      <c r="K192" s="61">
        <f ca="1">EFEITO!$L$192*EFEITO!$Z$94</f>
        <v>36366.144542030212</v>
      </c>
      <c r="L192" s="61">
        <f>EFEITO!$N$192*EFEITO!$AA$94</f>
        <v>6318.6899073641889</v>
      </c>
      <c r="M192" s="61">
        <f>$J$192-EFEITO!$K$192*EFEITO!$Y$192</f>
        <v>0</v>
      </c>
      <c r="N192" s="61">
        <f ca="1">$K$192-EFEITO!$M$192*EFEITO!$Z$192</f>
        <v>2181.9686725218126</v>
      </c>
      <c r="O192" s="61">
        <f>$L$192-EFEITO!$O$192*EFEITO!$AA$192</f>
        <v>379.12139444185141</v>
      </c>
      <c r="P192" s="45"/>
      <c r="Q192" s="45"/>
      <c r="R192" s="45"/>
      <c r="S192" s="45"/>
      <c r="T192" s="45"/>
      <c r="U192" s="45"/>
      <c r="V192" s="45"/>
      <c r="W192" s="45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1.25" customHeight="1" x14ac:dyDescent="0.2">
      <c r="A193" s="41" t="s">
        <v>28</v>
      </c>
      <c r="B193" s="41" t="s">
        <v>41</v>
      </c>
      <c r="C193" s="41" t="s">
        <v>23</v>
      </c>
      <c r="D193" s="41" t="s">
        <v>42</v>
      </c>
      <c r="E193" s="41" t="s">
        <v>25</v>
      </c>
      <c r="F193" s="41" t="s">
        <v>25</v>
      </c>
      <c r="G193" s="41" t="s">
        <v>25</v>
      </c>
      <c r="H193" s="41" t="s">
        <v>25</v>
      </c>
      <c r="I193" s="60">
        <v>44713</v>
      </c>
      <c r="J193" s="61">
        <f>EFEITO!$J$193*EFEITO!$Y$94</f>
        <v>0</v>
      </c>
      <c r="K193" s="61">
        <f ca="1">EFEITO!$L$193*EFEITO!$Z$94</f>
        <v>379.93779284205431</v>
      </c>
      <c r="L193" s="61">
        <f>EFEITO!$N$193*EFEITO!$AA$94</f>
        <v>66.014946794337575</v>
      </c>
      <c r="M193" s="61">
        <f>$J$193-EFEITO!$K$193*EFEITO!$Y$193</f>
        <v>0</v>
      </c>
      <c r="N193" s="61">
        <f ca="1">$K$193-EFEITO!$M$193*EFEITO!$Z$193</f>
        <v>22.796267570523298</v>
      </c>
      <c r="O193" s="61">
        <f>$L$193-EFEITO!$O$193*EFEITO!$AA$193</f>
        <v>3.9608968076602551</v>
      </c>
      <c r="P193" s="45"/>
      <c r="Q193" s="45"/>
      <c r="R193" s="45"/>
      <c r="S193" s="45"/>
      <c r="T193" s="45"/>
      <c r="U193" s="45"/>
      <c r="V193" s="45"/>
      <c r="W193" s="45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1.25" customHeight="1" x14ac:dyDescent="0.2">
      <c r="A194" s="41" t="s">
        <v>21</v>
      </c>
      <c r="B194" s="41" t="s">
        <v>37</v>
      </c>
      <c r="C194" s="41" t="s">
        <v>23</v>
      </c>
      <c r="D194" s="41" t="s">
        <v>38</v>
      </c>
      <c r="E194" s="41" t="s">
        <v>25</v>
      </c>
      <c r="F194" s="41" t="s">
        <v>25</v>
      </c>
      <c r="G194" s="41" t="s">
        <v>25</v>
      </c>
      <c r="H194" s="41" t="s">
        <v>25</v>
      </c>
      <c r="I194" s="60">
        <v>44378</v>
      </c>
      <c r="J194" s="61">
        <f>EFEITO!$J$194*EFEITO!$Y$194</f>
        <v>0</v>
      </c>
      <c r="K194" s="61">
        <f ca="1">EFEITO!$L$194*EFEITO!$Z$194</f>
        <v>66838.227662828125</v>
      </c>
      <c r="L194" s="61">
        <f>EFEITO!$N$194*EFEITO!$AA$194</f>
        <v>11613.274925834208</v>
      </c>
      <c r="M194" s="61">
        <f>$J$194-EFEITO!$K$194*EFEITO!$Y$194</f>
        <v>0</v>
      </c>
      <c r="N194" s="61">
        <f ca="1">$K$194-EFEITO!$M$194*EFEITO!$Z$194</f>
        <v>0</v>
      </c>
      <c r="O194" s="61">
        <f>$L$194-EFEITO!$O$194*EFEITO!$AA$194</f>
        <v>0</v>
      </c>
      <c r="P194" s="45"/>
      <c r="Q194" s="45"/>
      <c r="R194" s="45"/>
      <c r="S194" s="45"/>
      <c r="T194" s="45"/>
      <c r="U194" s="45"/>
      <c r="V194" s="45"/>
      <c r="W194" s="45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1.25" customHeight="1" x14ac:dyDescent="0.2">
      <c r="A195" s="41" t="s">
        <v>21</v>
      </c>
      <c r="B195" s="41" t="s">
        <v>37</v>
      </c>
      <c r="C195" s="41" t="s">
        <v>23</v>
      </c>
      <c r="D195" s="41" t="s">
        <v>38</v>
      </c>
      <c r="E195" s="41" t="s">
        <v>25</v>
      </c>
      <c r="F195" s="41" t="s">
        <v>25</v>
      </c>
      <c r="G195" s="41" t="s">
        <v>25</v>
      </c>
      <c r="H195" s="41" t="s">
        <v>25</v>
      </c>
      <c r="I195" s="60">
        <v>44409</v>
      </c>
      <c r="J195" s="61">
        <f>EFEITO!$J$195*EFEITO!$Y$195</f>
        <v>0</v>
      </c>
      <c r="K195" s="61">
        <f ca="1">EFEITO!$L$195*EFEITO!$Z$195</f>
        <v>82183.157920470185</v>
      </c>
      <c r="L195" s="61">
        <f>EFEITO!$N$195*EFEITO!$AA$195</f>
        <v>14279.487062677827</v>
      </c>
      <c r="M195" s="61">
        <f>$J$195-EFEITO!$K$195*EFEITO!$Y$195</f>
        <v>0</v>
      </c>
      <c r="N195" s="61">
        <f ca="1">$K$195-EFEITO!$M$195*EFEITO!$Z$195</f>
        <v>0</v>
      </c>
      <c r="O195" s="61">
        <f>$L$195-EFEITO!$O$195*EFEITO!$AA$195</f>
        <v>0</v>
      </c>
      <c r="P195" s="45"/>
      <c r="Q195" s="45"/>
      <c r="R195" s="45"/>
      <c r="S195" s="45"/>
      <c r="T195" s="45"/>
      <c r="U195" s="45"/>
      <c r="V195" s="45"/>
      <c r="W195" s="45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1.25" customHeight="1" x14ac:dyDescent="0.2">
      <c r="A196" s="41" t="s">
        <v>21</v>
      </c>
      <c r="B196" s="41" t="s">
        <v>37</v>
      </c>
      <c r="C196" s="41" t="s">
        <v>23</v>
      </c>
      <c r="D196" s="41" t="s">
        <v>38</v>
      </c>
      <c r="E196" s="41" t="s">
        <v>25</v>
      </c>
      <c r="F196" s="41" t="s">
        <v>25</v>
      </c>
      <c r="G196" s="41" t="s">
        <v>25</v>
      </c>
      <c r="H196" s="41" t="s">
        <v>25</v>
      </c>
      <c r="I196" s="60">
        <v>44440</v>
      </c>
      <c r="J196" s="61">
        <f>EFEITO!$J$196*EFEITO!$Y$196</f>
        <v>0</v>
      </c>
      <c r="K196" s="61">
        <f ca="1">EFEITO!$L$196*EFEITO!$Z$196</f>
        <v>90112.265332639552</v>
      </c>
      <c r="L196" s="61">
        <f>EFEITO!$N$196*EFEITO!$AA$196</f>
        <v>15657.185238017151</v>
      </c>
      <c r="M196" s="61">
        <f>$J$196-EFEITO!$K$196*EFEITO!$Y$196</f>
        <v>0</v>
      </c>
      <c r="N196" s="61">
        <f ca="1">$K$196-EFEITO!$M$196*EFEITO!$Z$196</f>
        <v>0</v>
      </c>
      <c r="O196" s="61">
        <f>$L$196-EFEITO!$O$196*EFEITO!$AA$196</f>
        <v>0</v>
      </c>
      <c r="P196" s="45"/>
      <c r="Q196" s="45"/>
      <c r="R196" s="45"/>
      <c r="S196" s="45"/>
      <c r="T196" s="45"/>
      <c r="U196" s="45"/>
      <c r="V196" s="45"/>
      <c r="W196" s="45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1.25" customHeight="1" x14ac:dyDescent="0.2">
      <c r="A197" s="41" t="s">
        <v>21</v>
      </c>
      <c r="B197" s="41" t="s">
        <v>37</v>
      </c>
      <c r="C197" s="41" t="s">
        <v>23</v>
      </c>
      <c r="D197" s="41" t="s">
        <v>38</v>
      </c>
      <c r="E197" s="41" t="s">
        <v>25</v>
      </c>
      <c r="F197" s="41" t="s">
        <v>25</v>
      </c>
      <c r="G197" s="41" t="s">
        <v>25</v>
      </c>
      <c r="H197" s="41" t="s">
        <v>25</v>
      </c>
      <c r="I197" s="60">
        <v>44470</v>
      </c>
      <c r="J197" s="61">
        <f>EFEITO!$J$197*EFEITO!$Y$197</f>
        <v>0</v>
      </c>
      <c r="K197" s="61">
        <f ca="1">EFEITO!$L$197*EFEITO!$Z$197</f>
        <v>85857.900170815556</v>
      </c>
      <c r="L197" s="61">
        <f>EFEITO!$N$197*EFEITO!$AA$197</f>
        <v>14917.980833789197</v>
      </c>
      <c r="M197" s="61">
        <f>$J$197-EFEITO!$K$197*EFEITO!$Y$197</f>
        <v>0</v>
      </c>
      <c r="N197" s="61">
        <f ca="1">$K$197-EFEITO!$M$197*EFEITO!$Z$197</f>
        <v>0</v>
      </c>
      <c r="O197" s="61">
        <f>$L$197-EFEITO!$O$197*EFEITO!$AA$197</f>
        <v>0</v>
      </c>
      <c r="P197" s="45"/>
      <c r="Q197" s="45"/>
      <c r="R197" s="45"/>
      <c r="S197" s="45"/>
      <c r="T197" s="45"/>
      <c r="U197" s="45"/>
      <c r="V197" s="45"/>
      <c r="W197" s="45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1.25" customHeight="1" x14ac:dyDescent="0.2">
      <c r="A198" s="41" t="s">
        <v>21</v>
      </c>
      <c r="B198" s="41" t="s">
        <v>37</v>
      </c>
      <c r="C198" s="41" t="s">
        <v>23</v>
      </c>
      <c r="D198" s="41" t="s">
        <v>38</v>
      </c>
      <c r="E198" s="41" t="s">
        <v>25</v>
      </c>
      <c r="F198" s="41" t="s">
        <v>25</v>
      </c>
      <c r="G198" s="41" t="s">
        <v>25</v>
      </c>
      <c r="H198" s="41" t="s">
        <v>25</v>
      </c>
      <c r="I198" s="60">
        <v>44501</v>
      </c>
      <c r="J198" s="61">
        <f>EFEITO!$J$198*EFEITO!$Y$198</f>
        <v>0</v>
      </c>
      <c r="K198" s="61">
        <f ca="1">EFEITO!$L$198*EFEITO!$Z$198</f>
        <v>64761.63644586601</v>
      </c>
      <c r="L198" s="61">
        <f>EFEITO!$N$198*EFEITO!$AA$198</f>
        <v>11252.463073778386</v>
      </c>
      <c r="M198" s="61">
        <f>$J$198-EFEITO!$K$198*EFEITO!$Y$198</f>
        <v>0</v>
      </c>
      <c r="N198" s="61">
        <f ca="1">$K$198-EFEITO!$M$198*EFEITO!$Z$198</f>
        <v>0</v>
      </c>
      <c r="O198" s="61">
        <f>$L$198-EFEITO!$O$198*EFEITO!$AA$198</f>
        <v>0</v>
      </c>
      <c r="P198" s="45"/>
      <c r="Q198" s="45"/>
      <c r="R198" s="45"/>
      <c r="S198" s="45"/>
      <c r="T198" s="45"/>
      <c r="U198" s="45"/>
      <c r="V198" s="45"/>
      <c r="W198" s="45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1.25" customHeight="1" x14ac:dyDescent="0.2">
      <c r="A199" s="41" t="s">
        <v>21</v>
      </c>
      <c r="B199" s="41" t="s">
        <v>37</v>
      </c>
      <c r="C199" s="41" t="s">
        <v>23</v>
      </c>
      <c r="D199" s="41" t="s">
        <v>38</v>
      </c>
      <c r="E199" s="41" t="s">
        <v>25</v>
      </c>
      <c r="F199" s="41" t="s">
        <v>25</v>
      </c>
      <c r="G199" s="41" t="s">
        <v>25</v>
      </c>
      <c r="H199" s="41" t="s">
        <v>25</v>
      </c>
      <c r="I199" s="60">
        <v>44531</v>
      </c>
      <c r="J199" s="61">
        <f>EFEITO!$J$199*EFEITO!$Y$199</f>
        <v>0</v>
      </c>
      <c r="K199" s="61">
        <f ca="1">EFEITO!$L$199*EFEITO!$Z$199</f>
        <v>62620.717136994106</v>
      </c>
      <c r="L199" s="61">
        <f>EFEITO!$N$199*EFEITO!$AA$199</f>
        <v>10880.474087873785</v>
      </c>
      <c r="M199" s="61">
        <f>$J$199-EFEITO!$K$199*EFEITO!$Y$199</f>
        <v>0</v>
      </c>
      <c r="N199" s="61">
        <f ca="1">$K$199-EFEITO!$M$199*EFEITO!$Z$199</f>
        <v>0</v>
      </c>
      <c r="O199" s="61">
        <f>$L$199-EFEITO!$O$199*EFEITO!$AA$199</f>
        <v>0</v>
      </c>
      <c r="P199" s="45"/>
      <c r="Q199" s="45"/>
      <c r="R199" s="45"/>
      <c r="S199" s="45"/>
      <c r="T199" s="45"/>
      <c r="U199" s="45"/>
      <c r="V199" s="45"/>
      <c r="W199" s="45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1.25" customHeight="1" x14ac:dyDescent="0.2">
      <c r="A200" s="41" t="s">
        <v>21</v>
      </c>
      <c r="B200" s="41" t="s">
        <v>37</v>
      </c>
      <c r="C200" s="41" t="s">
        <v>23</v>
      </c>
      <c r="D200" s="41" t="s">
        <v>38</v>
      </c>
      <c r="E200" s="41" t="s">
        <v>25</v>
      </c>
      <c r="F200" s="41" t="s">
        <v>25</v>
      </c>
      <c r="G200" s="41" t="s">
        <v>25</v>
      </c>
      <c r="H200" s="41" t="s">
        <v>25</v>
      </c>
      <c r="I200" s="60">
        <v>44562</v>
      </c>
      <c r="J200" s="61">
        <f>EFEITO!$J$200*EFEITO!$Y$200</f>
        <v>0</v>
      </c>
      <c r="K200" s="61">
        <f ca="1">EFEITO!$L$200*EFEITO!$Z$200</f>
        <v>58817.988787119932</v>
      </c>
      <c r="L200" s="61">
        <f>EFEITO!$N$200*EFEITO!$AA$200</f>
        <v>10219.742477542452</v>
      </c>
      <c r="M200" s="61">
        <f>$J$200-EFEITO!$K$200*EFEITO!$Y$200</f>
        <v>0</v>
      </c>
      <c r="N200" s="61">
        <f ca="1">$K$200-EFEITO!$M$200*EFEITO!$Z$200</f>
        <v>0</v>
      </c>
      <c r="O200" s="61">
        <f>$L$200-EFEITO!$O$200*EFEITO!$AA$200</f>
        <v>0</v>
      </c>
      <c r="P200" s="45"/>
      <c r="Q200" s="45"/>
      <c r="R200" s="45"/>
      <c r="S200" s="45"/>
      <c r="T200" s="45"/>
      <c r="U200" s="45"/>
      <c r="V200" s="45"/>
      <c r="W200" s="45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1.25" customHeight="1" x14ac:dyDescent="0.2">
      <c r="A201" s="41" t="s">
        <v>21</v>
      </c>
      <c r="B201" s="41" t="s">
        <v>37</v>
      </c>
      <c r="C201" s="41" t="s">
        <v>23</v>
      </c>
      <c r="D201" s="41" t="s">
        <v>38</v>
      </c>
      <c r="E201" s="41" t="s">
        <v>25</v>
      </c>
      <c r="F201" s="41" t="s">
        <v>25</v>
      </c>
      <c r="G201" s="41" t="s">
        <v>25</v>
      </c>
      <c r="H201" s="41" t="s">
        <v>25</v>
      </c>
      <c r="I201" s="60">
        <v>44593</v>
      </c>
      <c r="J201" s="61">
        <f>EFEITO!$J$201*EFEITO!$Y$201</f>
        <v>0</v>
      </c>
      <c r="K201" s="61">
        <f ca="1">EFEITO!$L$201*EFEITO!$Z$201</f>
        <v>66414.064306798115</v>
      </c>
      <c r="L201" s="61">
        <f>EFEITO!$N$201*EFEITO!$AA$201</f>
        <v>11539.575699518839</v>
      </c>
      <c r="M201" s="61">
        <f>$J$201-EFEITO!$K$201*EFEITO!$Y$201</f>
        <v>0</v>
      </c>
      <c r="N201" s="61">
        <f ca="1">$K$201-EFEITO!$M$201*EFEITO!$Z$201</f>
        <v>0</v>
      </c>
      <c r="O201" s="61">
        <f>$L$201-EFEITO!$O$201*EFEITO!$AA$201</f>
        <v>0</v>
      </c>
      <c r="P201" s="45"/>
      <c r="Q201" s="45"/>
      <c r="R201" s="45"/>
      <c r="S201" s="45"/>
      <c r="T201" s="45"/>
      <c r="U201" s="45"/>
      <c r="V201" s="45"/>
      <c r="W201" s="45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1.25" customHeight="1" x14ac:dyDescent="0.2">
      <c r="A202" s="41" t="s">
        <v>21</v>
      </c>
      <c r="B202" s="41" t="s">
        <v>37</v>
      </c>
      <c r="C202" s="41" t="s">
        <v>23</v>
      </c>
      <c r="D202" s="41" t="s">
        <v>38</v>
      </c>
      <c r="E202" s="41" t="s">
        <v>25</v>
      </c>
      <c r="F202" s="41" t="s">
        <v>25</v>
      </c>
      <c r="G202" s="41" t="s">
        <v>25</v>
      </c>
      <c r="H202" s="41" t="s">
        <v>25</v>
      </c>
      <c r="I202" s="60">
        <v>44621</v>
      </c>
      <c r="J202" s="61">
        <f>EFEITO!$J$202*EFEITO!$Y$202</f>
        <v>0</v>
      </c>
      <c r="K202" s="61">
        <f ca="1">EFEITO!$L$202*EFEITO!$Z$202</f>
        <v>70538.433116221117</v>
      </c>
      <c r="L202" s="61">
        <f>EFEITO!$N$202*EFEITO!$AA$202</f>
        <v>12256.192979094054</v>
      </c>
      <c r="M202" s="61">
        <f>$J$202-EFEITO!$K$202*EFEITO!$Y$202</f>
        <v>0</v>
      </c>
      <c r="N202" s="61">
        <f ca="1">$K$202-EFEITO!$M$202*EFEITO!$Z$202</f>
        <v>0</v>
      </c>
      <c r="O202" s="61">
        <f>$L$202-EFEITO!$O$202*EFEITO!$AA$202</f>
        <v>0</v>
      </c>
      <c r="P202" s="45"/>
      <c r="Q202" s="45"/>
      <c r="R202" s="45"/>
      <c r="S202" s="45"/>
      <c r="T202" s="45"/>
      <c r="U202" s="45"/>
      <c r="V202" s="45"/>
      <c r="W202" s="45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1.25" customHeight="1" x14ac:dyDescent="0.2">
      <c r="A203" s="41" t="s">
        <v>21</v>
      </c>
      <c r="B203" s="41" t="s">
        <v>37</v>
      </c>
      <c r="C203" s="41" t="s">
        <v>23</v>
      </c>
      <c r="D203" s="41" t="s">
        <v>38</v>
      </c>
      <c r="E203" s="41" t="s">
        <v>25</v>
      </c>
      <c r="F203" s="41" t="s">
        <v>25</v>
      </c>
      <c r="G203" s="41" t="s">
        <v>25</v>
      </c>
      <c r="H203" s="41" t="s">
        <v>25</v>
      </c>
      <c r="I203" s="60">
        <v>44652</v>
      </c>
      <c r="J203" s="61">
        <f>EFEITO!$J$203*EFEITO!$Y$203</f>
        <v>0</v>
      </c>
      <c r="K203" s="61">
        <f ca="1">EFEITO!$L$203*EFEITO!$Z$203</f>
        <v>68339.216474055997</v>
      </c>
      <c r="L203" s="61">
        <f>EFEITO!$N$203*EFEITO!$AA$203</f>
        <v>11874.074715639001</v>
      </c>
      <c r="M203" s="61">
        <f>$J$203-EFEITO!$K$203*EFEITO!$Y$203</f>
        <v>0</v>
      </c>
      <c r="N203" s="61">
        <f ca="1">$K$203-EFEITO!$M$203*EFEITO!$Z$203</f>
        <v>0</v>
      </c>
      <c r="O203" s="61">
        <f>$L$203-EFEITO!$O$203*EFEITO!$AA$203</f>
        <v>0</v>
      </c>
      <c r="P203" s="45"/>
      <c r="Q203" s="45"/>
      <c r="R203" s="45"/>
      <c r="S203" s="45"/>
      <c r="T203" s="45"/>
      <c r="U203" s="45"/>
      <c r="V203" s="45"/>
      <c r="W203" s="45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1.25" customHeight="1" x14ac:dyDescent="0.2">
      <c r="A204" s="41" t="s">
        <v>21</v>
      </c>
      <c r="B204" s="41" t="s">
        <v>37</v>
      </c>
      <c r="C204" s="41" t="s">
        <v>23</v>
      </c>
      <c r="D204" s="41" t="s">
        <v>38</v>
      </c>
      <c r="E204" s="41" t="s">
        <v>25</v>
      </c>
      <c r="F204" s="41" t="s">
        <v>25</v>
      </c>
      <c r="G204" s="41" t="s">
        <v>25</v>
      </c>
      <c r="H204" s="41" t="s">
        <v>25</v>
      </c>
      <c r="I204" s="60">
        <v>44682</v>
      </c>
      <c r="J204" s="61">
        <f>EFEITO!$J$204*EFEITO!$Y$204</f>
        <v>0</v>
      </c>
      <c r="K204" s="61">
        <f ca="1">EFEITO!$L$204*EFEITO!$Z$204</f>
        <v>68676.268872291548</v>
      </c>
      <c r="L204" s="61">
        <f>EFEITO!$N$204*EFEITO!$AA$204</f>
        <v>11932.638239867487</v>
      </c>
      <c r="M204" s="61">
        <f>$J$204-EFEITO!$K$204*EFEITO!$Y$204</f>
        <v>0</v>
      </c>
      <c r="N204" s="61">
        <f ca="1">$K$204-EFEITO!$M$204*EFEITO!$Z$204</f>
        <v>0</v>
      </c>
      <c r="O204" s="61">
        <f>$L$204-EFEITO!$O$204*EFEITO!$AA$204</f>
        <v>0</v>
      </c>
      <c r="P204" s="45"/>
      <c r="Q204" s="45"/>
      <c r="R204" s="45"/>
      <c r="S204" s="45"/>
      <c r="T204" s="45"/>
      <c r="U204" s="45"/>
      <c r="V204" s="45"/>
      <c r="W204" s="45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1.25" customHeight="1" x14ac:dyDescent="0.2">
      <c r="A205" s="41" t="s">
        <v>21</v>
      </c>
      <c r="B205" s="41" t="s">
        <v>37</v>
      </c>
      <c r="C205" s="41" t="s">
        <v>23</v>
      </c>
      <c r="D205" s="41" t="s">
        <v>38</v>
      </c>
      <c r="E205" s="41" t="s">
        <v>25</v>
      </c>
      <c r="F205" s="41" t="s">
        <v>25</v>
      </c>
      <c r="G205" s="41" t="s">
        <v>25</v>
      </c>
      <c r="H205" s="41" t="s">
        <v>25</v>
      </c>
      <c r="I205" s="60">
        <v>44713</v>
      </c>
      <c r="J205" s="61">
        <f>EFEITO!$J$205*EFEITO!$Y$205</f>
        <v>0</v>
      </c>
      <c r="K205" s="61">
        <f ca="1">EFEITO!$L$205*EFEITO!$Z$205</f>
        <v>64359.585871429968</v>
      </c>
      <c r="L205" s="61">
        <f>EFEITO!$N$205*EFEITO!$AA$205</f>
        <v>11182.605987223531</v>
      </c>
      <c r="M205" s="61">
        <f>$J$205-EFEITO!$K$205*EFEITO!$Y$205</f>
        <v>0</v>
      </c>
      <c r="N205" s="61">
        <f ca="1">$K$205-EFEITO!$M$205*EFEITO!$Z$205</f>
        <v>0</v>
      </c>
      <c r="O205" s="61">
        <f>$L$205-EFEITO!$O$205*EFEITO!$AA$205</f>
        <v>0</v>
      </c>
      <c r="P205" s="45"/>
      <c r="Q205" s="45"/>
      <c r="R205" s="45"/>
      <c r="S205" s="45"/>
      <c r="T205" s="45"/>
      <c r="U205" s="45"/>
      <c r="V205" s="45"/>
      <c r="W205" s="45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1.25" customHeight="1" x14ac:dyDescent="0.2">
      <c r="A206" s="41" t="s">
        <v>21</v>
      </c>
      <c r="B206" s="41" t="s">
        <v>37</v>
      </c>
      <c r="C206" s="41" t="s">
        <v>23</v>
      </c>
      <c r="D206" s="41" t="s">
        <v>43</v>
      </c>
      <c r="E206" s="41" t="s">
        <v>25</v>
      </c>
      <c r="F206" s="41" t="s">
        <v>25</v>
      </c>
      <c r="G206" s="41" t="s">
        <v>25</v>
      </c>
      <c r="H206" s="41" t="s">
        <v>25</v>
      </c>
      <c r="I206" s="60">
        <v>44378</v>
      </c>
      <c r="J206" s="61">
        <f>EFEITO!$J$206*EFEITO!$Y$206</f>
        <v>0</v>
      </c>
      <c r="K206" s="61">
        <f ca="1">EFEITO!$L$206*EFEITO!$Z$206</f>
        <v>3390.6265110772392</v>
      </c>
      <c r="L206" s="61">
        <f>EFEITO!$N$206*EFEITO!$AA$206</f>
        <v>589.12809661260701</v>
      </c>
      <c r="M206" s="61">
        <f>$J$206-EFEITO!$K$206*EFEITO!$Y$206</f>
        <v>0</v>
      </c>
      <c r="N206" s="61">
        <f ca="1">$K$206-EFEITO!$M$206*EFEITO!$Z$206</f>
        <v>0</v>
      </c>
      <c r="O206" s="61">
        <f>$L$206-EFEITO!$O$206*EFEITO!$AA$206</f>
        <v>0</v>
      </c>
      <c r="P206" s="45"/>
      <c r="Q206" s="45"/>
      <c r="R206" s="45"/>
      <c r="S206" s="45"/>
      <c r="T206" s="45"/>
      <c r="U206" s="45"/>
      <c r="V206" s="45"/>
      <c r="W206" s="45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1.25" customHeight="1" x14ac:dyDescent="0.2">
      <c r="A207" s="41" t="s">
        <v>21</v>
      </c>
      <c r="B207" s="41" t="s">
        <v>37</v>
      </c>
      <c r="C207" s="41" t="s">
        <v>23</v>
      </c>
      <c r="D207" s="41" t="s">
        <v>43</v>
      </c>
      <c r="E207" s="41" t="s">
        <v>25</v>
      </c>
      <c r="F207" s="41" t="s">
        <v>25</v>
      </c>
      <c r="G207" s="41" t="s">
        <v>25</v>
      </c>
      <c r="H207" s="41" t="s">
        <v>25</v>
      </c>
      <c r="I207" s="60">
        <v>44409</v>
      </c>
      <c r="J207" s="61">
        <f>EFEITO!$J$207*EFEITO!$Y$207</f>
        <v>0</v>
      </c>
      <c r="K207" s="61">
        <f ca="1">EFEITO!$L$207*EFEITO!$Z$207</f>
        <v>3501.1904190471496</v>
      </c>
      <c r="L207" s="61">
        <f>EFEITO!$N$207*EFEITO!$AA$207</f>
        <v>608.33879541519195</v>
      </c>
      <c r="M207" s="61">
        <f>$J$207-EFEITO!$K$207*EFEITO!$Y$207</f>
        <v>0</v>
      </c>
      <c r="N207" s="61">
        <f ca="1">$K$207-EFEITO!$M$207*EFEITO!$Z$207</f>
        <v>0</v>
      </c>
      <c r="O207" s="61">
        <f>$L$207-EFEITO!$O$207*EFEITO!$AA$207</f>
        <v>0</v>
      </c>
      <c r="P207" s="45"/>
      <c r="Q207" s="45"/>
      <c r="R207" s="45"/>
      <c r="S207" s="45"/>
      <c r="T207" s="45"/>
      <c r="U207" s="45"/>
      <c r="V207" s="45"/>
      <c r="W207" s="45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1.25" customHeight="1" x14ac:dyDescent="0.2">
      <c r="A208" s="41" t="s">
        <v>21</v>
      </c>
      <c r="B208" s="41" t="s">
        <v>37</v>
      </c>
      <c r="C208" s="41" t="s">
        <v>23</v>
      </c>
      <c r="D208" s="41" t="s">
        <v>43</v>
      </c>
      <c r="E208" s="41" t="s">
        <v>25</v>
      </c>
      <c r="F208" s="41" t="s">
        <v>25</v>
      </c>
      <c r="G208" s="41" t="s">
        <v>25</v>
      </c>
      <c r="H208" s="41" t="s">
        <v>25</v>
      </c>
      <c r="I208" s="60">
        <v>44440</v>
      </c>
      <c r="J208" s="61">
        <f>EFEITO!$J$208*EFEITO!$Y$208</f>
        <v>0</v>
      </c>
      <c r="K208" s="61">
        <f ca="1">EFEITO!$L$208*EFEITO!$Z$208</f>
        <v>5085.9397666158593</v>
      </c>
      <c r="L208" s="61">
        <f>EFEITO!$N$208*EFEITO!$AA$208</f>
        <v>883.69214491891046</v>
      </c>
      <c r="M208" s="61">
        <f>$J$208-EFEITO!$K$208*EFEITO!$Y$208</f>
        <v>0</v>
      </c>
      <c r="N208" s="61">
        <f ca="1">$K$208-EFEITO!$M$208*EFEITO!$Z$208</f>
        <v>0</v>
      </c>
      <c r="O208" s="61">
        <f>$L$208-EFEITO!$O$208*EFEITO!$AA$208</f>
        <v>0</v>
      </c>
      <c r="P208" s="45"/>
      <c r="Q208" s="45"/>
      <c r="R208" s="45"/>
      <c r="S208" s="45"/>
      <c r="T208" s="45"/>
      <c r="U208" s="45"/>
      <c r="V208" s="45"/>
      <c r="W208" s="45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1.25" customHeight="1" x14ac:dyDescent="0.2">
      <c r="A209" s="41" t="s">
        <v>21</v>
      </c>
      <c r="B209" s="41" t="s">
        <v>37</v>
      </c>
      <c r="C209" s="41" t="s">
        <v>23</v>
      </c>
      <c r="D209" s="41" t="s">
        <v>43</v>
      </c>
      <c r="E209" s="41" t="s">
        <v>25</v>
      </c>
      <c r="F209" s="41" t="s">
        <v>25</v>
      </c>
      <c r="G209" s="41" t="s">
        <v>25</v>
      </c>
      <c r="H209" s="41" t="s">
        <v>25</v>
      </c>
      <c r="I209" s="60">
        <v>44470</v>
      </c>
      <c r="J209" s="61">
        <f>EFEITO!$J$209*EFEITO!$Y$209</f>
        <v>0</v>
      </c>
      <c r="K209" s="61">
        <f ca="1">EFEITO!$L$209*EFEITO!$Z$209</f>
        <v>4777.7009928815651</v>
      </c>
      <c r="L209" s="61">
        <f>EFEITO!$N$209*EFEITO!$AA$209</f>
        <v>830.13504522685537</v>
      </c>
      <c r="M209" s="61">
        <f>$J$209-EFEITO!$K$209*EFEITO!$Y$209</f>
        <v>0</v>
      </c>
      <c r="N209" s="61">
        <f ca="1">$K$209-EFEITO!$M$209*EFEITO!$Z$209</f>
        <v>0</v>
      </c>
      <c r="O209" s="61">
        <f>$L$209-EFEITO!$O$209*EFEITO!$AA$209</f>
        <v>0</v>
      </c>
      <c r="P209" s="45"/>
      <c r="Q209" s="45"/>
      <c r="R209" s="45"/>
      <c r="S209" s="45"/>
      <c r="T209" s="45"/>
      <c r="U209" s="45"/>
      <c r="V209" s="45"/>
      <c r="W209" s="45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1.25" customHeight="1" x14ac:dyDescent="0.2">
      <c r="A210" s="41" t="s">
        <v>21</v>
      </c>
      <c r="B210" s="41" t="s">
        <v>37</v>
      </c>
      <c r="C210" s="41" t="s">
        <v>23</v>
      </c>
      <c r="D210" s="41" t="s">
        <v>43</v>
      </c>
      <c r="E210" s="41" t="s">
        <v>25</v>
      </c>
      <c r="F210" s="41" t="s">
        <v>25</v>
      </c>
      <c r="G210" s="41" t="s">
        <v>25</v>
      </c>
      <c r="H210" s="41" t="s">
        <v>25</v>
      </c>
      <c r="I210" s="60">
        <v>44501</v>
      </c>
      <c r="J210" s="61">
        <f>EFEITO!$J$210*EFEITO!$Y$210</f>
        <v>0</v>
      </c>
      <c r="K210" s="61">
        <f ca="1">EFEITO!$L$210*EFEITO!$Z$210</f>
        <v>10173.889786103899</v>
      </c>
      <c r="L210" s="61">
        <f>EFEITO!$N$210*EFEITO!$AA$210</f>
        <v>1767.7335752705953</v>
      </c>
      <c r="M210" s="61">
        <f>$J$210-EFEITO!$K$210*EFEITO!$Y$210</f>
        <v>0</v>
      </c>
      <c r="N210" s="61">
        <f ca="1">$K$210-EFEITO!$M$210*EFEITO!$Z$210</f>
        <v>0</v>
      </c>
      <c r="O210" s="61">
        <f>$L$210-EFEITO!$O$210*EFEITO!$AA$210</f>
        <v>0</v>
      </c>
      <c r="P210" s="45"/>
      <c r="Q210" s="45"/>
      <c r="R210" s="45"/>
      <c r="S210" s="45"/>
      <c r="T210" s="45"/>
      <c r="U210" s="45"/>
      <c r="V210" s="45"/>
      <c r="W210" s="45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1.25" customHeight="1" x14ac:dyDescent="0.2">
      <c r="A211" s="41" t="s">
        <v>21</v>
      </c>
      <c r="B211" s="41" t="s">
        <v>37</v>
      </c>
      <c r="C211" s="41" t="s">
        <v>23</v>
      </c>
      <c r="D211" s="41" t="s">
        <v>43</v>
      </c>
      <c r="E211" s="41" t="s">
        <v>25</v>
      </c>
      <c r="F211" s="41" t="s">
        <v>25</v>
      </c>
      <c r="G211" s="41" t="s">
        <v>25</v>
      </c>
      <c r="H211" s="41" t="s">
        <v>25</v>
      </c>
      <c r="I211" s="60">
        <v>44531</v>
      </c>
      <c r="J211" s="61">
        <f>EFEITO!$J$211*EFEITO!$Y$211</f>
        <v>0</v>
      </c>
      <c r="K211" s="61">
        <f ca="1">EFEITO!$L$211*EFEITO!$Z$211</f>
        <v>8244.7171131016512</v>
      </c>
      <c r="L211" s="61">
        <f>EFEITO!$N$211*EFEITO!$AA$211</f>
        <v>1432.5359882848848</v>
      </c>
      <c r="M211" s="61">
        <f>$J$211-EFEITO!$K$211*EFEITO!$Y$211</f>
        <v>0</v>
      </c>
      <c r="N211" s="61">
        <f ca="1">$K$211-EFEITO!$M$211*EFEITO!$Z$211</f>
        <v>0</v>
      </c>
      <c r="O211" s="61">
        <f>$L$211-EFEITO!$O$211*EFEITO!$AA$211</f>
        <v>0</v>
      </c>
      <c r="P211" s="45"/>
      <c r="Q211" s="45"/>
      <c r="R211" s="45"/>
      <c r="S211" s="45"/>
      <c r="T211" s="45"/>
      <c r="U211" s="45"/>
      <c r="V211" s="45"/>
      <c r="W211" s="45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1.25" customHeight="1" x14ac:dyDescent="0.2">
      <c r="A212" s="41" t="s">
        <v>21</v>
      </c>
      <c r="B212" s="41" t="s">
        <v>37</v>
      </c>
      <c r="C212" s="41" t="s">
        <v>23</v>
      </c>
      <c r="D212" s="41" t="s">
        <v>43</v>
      </c>
      <c r="E212" s="41" t="s">
        <v>25</v>
      </c>
      <c r="F212" s="41" t="s">
        <v>25</v>
      </c>
      <c r="G212" s="41" t="s">
        <v>25</v>
      </c>
      <c r="H212" s="41" t="s">
        <v>25</v>
      </c>
      <c r="I212" s="60">
        <v>44562</v>
      </c>
      <c r="J212" s="61">
        <f>EFEITO!$J$212*EFEITO!$Y$212</f>
        <v>0</v>
      </c>
      <c r="K212" s="61">
        <f ca="1">EFEITO!$L$212*EFEITO!$Z$212</f>
        <v>4697.2908779943573</v>
      </c>
      <c r="L212" s="61">
        <f>EFEITO!$N$212*EFEITO!$AA$212</f>
        <v>816.16362791588438</v>
      </c>
      <c r="M212" s="61">
        <f>$J$212-EFEITO!$K$212*EFEITO!$Y$212</f>
        <v>0</v>
      </c>
      <c r="N212" s="61">
        <f ca="1">$K$212-EFEITO!$M$212*EFEITO!$Z$212</f>
        <v>0</v>
      </c>
      <c r="O212" s="61">
        <f>$L$212-EFEITO!$O$212*EFEITO!$AA$212</f>
        <v>0</v>
      </c>
      <c r="P212" s="45"/>
      <c r="Q212" s="45"/>
      <c r="R212" s="45"/>
      <c r="S212" s="45"/>
      <c r="T212" s="45"/>
      <c r="U212" s="45"/>
      <c r="V212" s="45"/>
      <c r="W212" s="45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1.25" customHeight="1" x14ac:dyDescent="0.2">
      <c r="A213" s="41" t="s">
        <v>21</v>
      </c>
      <c r="B213" s="41" t="s">
        <v>37</v>
      </c>
      <c r="C213" s="41" t="s">
        <v>23</v>
      </c>
      <c r="D213" s="41" t="s">
        <v>43</v>
      </c>
      <c r="E213" s="41" t="s">
        <v>25</v>
      </c>
      <c r="F213" s="41" t="s">
        <v>25</v>
      </c>
      <c r="G213" s="41" t="s">
        <v>25</v>
      </c>
      <c r="H213" s="41" t="s">
        <v>25</v>
      </c>
      <c r="I213" s="60">
        <v>44593</v>
      </c>
      <c r="J213" s="61">
        <f>EFEITO!$J$213*EFEITO!$Y$213</f>
        <v>0</v>
      </c>
      <c r="K213" s="61">
        <f ca="1">EFEITO!$L$213*EFEITO!$Z$213</f>
        <v>4982.0767015532165</v>
      </c>
      <c r="L213" s="61">
        <f>EFEITO!$N$213*EFEITO!$AA$213</f>
        <v>865.64573089223973</v>
      </c>
      <c r="M213" s="61">
        <f>$J$213-EFEITO!$K$213*EFEITO!$Y$213</f>
        <v>0</v>
      </c>
      <c r="N213" s="61">
        <f ca="1">$K$213-EFEITO!$M$213*EFEITO!$Z$213</f>
        <v>0</v>
      </c>
      <c r="O213" s="61">
        <f>$L$213-EFEITO!$O$213*EFEITO!$AA$213</f>
        <v>0</v>
      </c>
      <c r="P213" s="45"/>
      <c r="Q213" s="45"/>
      <c r="R213" s="45"/>
      <c r="S213" s="45"/>
      <c r="T213" s="45"/>
      <c r="U213" s="45"/>
      <c r="V213" s="45"/>
      <c r="W213" s="45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1.25" customHeight="1" x14ac:dyDescent="0.2">
      <c r="A214" s="41" t="s">
        <v>21</v>
      </c>
      <c r="B214" s="41" t="s">
        <v>37</v>
      </c>
      <c r="C214" s="41" t="s">
        <v>23</v>
      </c>
      <c r="D214" s="41" t="s">
        <v>43</v>
      </c>
      <c r="E214" s="41" t="s">
        <v>25</v>
      </c>
      <c r="F214" s="41" t="s">
        <v>25</v>
      </c>
      <c r="G214" s="41" t="s">
        <v>25</v>
      </c>
      <c r="H214" s="41" t="s">
        <v>25</v>
      </c>
      <c r="I214" s="60">
        <v>44621</v>
      </c>
      <c r="J214" s="61">
        <f>EFEITO!$J$214*EFEITO!$Y$214</f>
        <v>0</v>
      </c>
      <c r="K214" s="61">
        <f ca="1">EFEITO!$L$214*EFEITO!$Z$214</f>
        <v>7413.1425083097838</v>
      </c>
      <c r="L214" s="61">
        <f>EFEITO!$N$214*EFEITO!$AA$214</f>
        <v>1288.0482475939273</v>
      </c>
      <c r="M214" s="61">
        <f>$J$214-EFEITO!$K$214*EFEITO!$Y$214</f>
        <v>0</v>
      </c>
      <c r="N214" s="61">
        <f ca="1">$K$214-EFEITO!$M$214*EFEITO!$Z$214</f>
        <v>0</v>
      </c>
      <c r="O214" s="61">
        <f>$L$214-EFEITO!$O$214*EFEITO!$AA$214</f>
        <v>0</v>
      </c>
      <c r="P214" s="45"/>
      <c r="Q214" s="45"/>
      <c r="R214" s="45"/>
      <c r="S214" s="45"/>
      <c r="T214" s="45"/>
      <c r="U214" s="45"/>
      <c r="V214" s="45"/>
      <c r="W214" s="45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1.25" customHeight="1" x14ac:dyDescent="0.2">
      <c r="A215" s="41" t="s">
        <v>21</v>
      </c>
      <c r="B215" s="41" t="s">
        <v>37</v>
      </c>
      <c r="C215" s="41" t="s">
        <v>23</v>
      </c>
      <c r="D215" s="41" t="s">
        <v>43</v>
      </c>
      <c r="E215" s="41" t="s">
        <v>25</v>
      </c>
      <c r="F215" s="41" t="s">
        <v>25</v>
      </c>
      <c r="G215" s="41" t="s">
        <v>25</v>
      </c>
      <c r="H215" s="41" t="s">
        <v>25</v>
      </c>
      <c r="I215" s="60">
        <v>44652</v>
      </c>
      <c r="J215" s="61">
        <f>EFEITO!$J$215*EFEITO!$Y$215</f>
        <v>0</v>
      </c>
      <c r="K215" s="61">
        <f ca="1">EFEITO!$L$215*EFEITO!$Z$215</f>
        <v>7452.6774814626597</v>
      </c>
      <c r="L215" s="61">
        <f>EFEITO!$N$215*EFEITO!$AA$215</f>
        <v>1294.9175277718211</v>
      </c>
      <c r="M215" s="61">
        <f>$J$215-EFEITO!$K$215*EFEITO!$Y$215</f>
        <v>0</v>
      </c>
      <c r="N215" s="61">
        <f ca="1">$K$215-EFEITO!$M$215*EFEITO!$Z$215</f>
        <v>0</v>
      </c>
      <c r="O215" s="61">
        <f>$L$215-EFEITO!$O$215*EFEITO!$AA$215</f>
        <v>0</v>
      </c>
      <c r="P215" s="45"/>
      <c r="Q215" s="45"/>
      <c r="R215" s="45"/>
      <c r="S215" s="45"/>
      <c r="T215" s="45"/>
      <c r="U215" s="45"/>
      <c r="V215" s="45"/>
      <c r="W215" s="45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1.25" customHeight="1" x14ac:dyDescent="0.2">
      <c r="A216" s="41" t="s">
        <v>21</v>
      </c>
      <c r="B216" s="41" t="s">
        <v>37</v>
      </c>
      <c r="C216" s="41" t="s">
        <v>23</v>
      </c>
      <c r="D216" s="41" t="s">
        <v>43</v>
      </c>
      <c r="E216" s="41" t="s">
        <v>25</v>
      </c>
      <c r="F216" s="41" t="s">
        <v>25</v>
      </c>
      <c r="G216" s="41" t="s">
        <v>25</v>
      </c>
      <c r="H216" s="41" t="s">
        <v>25</v>
      </c>
      <c r="I216" s="60">
        <v>44682</v>
      </c>
      <c r="J216" s="61">
        <f>EFEITO!$J$216*EFEITO!$Y$216</f>
        <v>0</v>
      </c>
      <c r="K216" s="61">
        <f ca="1">EFEITO!$L$216*EFEITO!$Z$216</f>
        <v>6952.1245162897949</v>
      </c>
      <c r="L216" s="61">
        <f>EFEITO!$N$216*EFEITO!$AA$216</f>
        <v>1207.9454550110272</v>
      </c>
      <c r="M216" s="61">
        <f>$J$216-EFEITO!$K$216*EFEITO!$Y$216</f>
        <v>0</v>
      </c>
      <c r="N216" s="61">
        <f ca="1">$K$216-EFEITO!$M$216*EFEITO!$Z$216</f>
        <v>0</v>
      </c>
      <c r="O216" s="61">
        <f>$L$216-EFEITO!$O$216*EFEITO!$AA$216</f>
        <v>0</v>
      </c>
      <c r="P216" s="45"/>
      <c r="Q216" s="45"/>
      <c r="R216" s="45"/>
      <c r="S216" s="45"/>
      <c r="T216" s="45"/>
      <c r="U216" s="45"/>
      <c r="V216" s="45"/>
      <c r="W216" s="45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1.25" customHeight="1" x14ac:dyDescent="0.2">
      <c r="A217" s="41" t="s">
        <v>21</v>
      </c>
      <c r="B217" s="41" t="s">
        <v>37</v>
      </c>
      <c r="C217" s="41" t="s">
        <v>23</v>
      </c>
      <c r="D217" s="41" t="s">
        <v>43</v>
      </c>
      <c r="E217" s="41" t="s">
        <v>25</v>
      </c>
      <c r="F217" s="41" t="s">
        <v>25</v>
      </c>
      <c r="G217" s="41" t="s">
        <v>25</v>
      </c>
      <c r="H217" s="41" t="s">
        <v>25</v>
      </c>
      <c r="I217" s="60">
        <v>44713</v>
      </c>
      <c r="J217" s="61">
        <f>EFEITO!$J$217*EFEITO!$Y$217</f>
        <v>0</v>
      </c>
      <c r="K217" s="61">
        <f ca="1">EFEITO!$L$217*EFEITO!$Z$217</f>
        <v>8424.9697873071418</v>
      </c>
      <c r="L217" s="61">
        <f>EFEITO!$N$217*EFEITO!$AA$217</f>
        <v>1463.855248756978</v>
      </c>
      <c r="M217" s="61">
        <f>$J$217-EFEITO!$K$217*EFEITO!$Y$217</f>
        <v>0</v>
      </c>
      <c r="N217" s="61">
        <f ca="1">$K$217-EFEITO!$M$217*EFEITO!$Z$217</f>
        <v>0</v>
      </c>
      <c r="O217" s="61">
        <f>$L$217-EFEITO!$O$217*EFEITO!$AA$217</f>
        <v>0</v>
      </c>
      <c r="P217" s="45"/>
      <c r="Q217" s="45"/>
      <c r="R217" s="45"/>
      <c r="S217" s="45"/>
      <c r="T217" s="45"/>
      <c r="U217" s="45"/>
      <c r="V217" s="45"/>
      <c r="W217" s="45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1.25" customHeight="1" x14ac:dyDescent="0.2">
      <c r="A218" s="41" t="s">
        <v>21</v>
      </c>
      <c r="B218" s="41" t="s">
        <v>37</v>
      </c>
      <c r="C218" s="41" t="s">
        <v>23</v>
      </c>
      <c r="D218" s="41" t="s">
        <v>47</v>
      </c>
      <c r="E218" s="41" t="s">
        <v>48</v>
      </c>
      <c r="F218" s="41" t="s">
        <v>25</v>
      </c>
      <c r="G218" s="41" t="s">
        <v>25</v>
      </c>
      <c r="H218" s="41" t="s">
        <v>25</v>
      </c>
      <c r="I218" s="60">
        <v>44378</v>
      </c>
      <c r="J218" s="61">
        <f>EFEITO!$J$218*EFEITO!$Y$217</f>
        <v>0</v>
      </c>
      <c r="K218" s="61">
        <f ca="1">EFEITO!$L$218*EFEITO!$Z$217</f>
        <v>3651.9593844606634</v>
      </c>
      <c r="L218" s="61">
        <f>EFEITO!$N$218*EFEITO!$AA$217</f>
        <v>634.53520287326251</v>
      </c>
      <c r="M218" s="61">
        <f>$J$218-EFEITO!$K$218*EFEITO!$Y$218</f>
        <v>0</v>
      </c>
      <c r="N218" s="61">
        <f ca="1">$K$218-EFEITO!$M$218*EFEITO!$Z$218</f>
        <v>109.55878153381991</v>
      </c>
      <c r="O218" s="61">
        <f>$L$218-EFEITO!$O$218*EFEITO!$AA$218</f>
        <v>19.036056086197846</v>
      </c>
      <c r="P218" s="45"/>
      <c r="Q218" s="45"/>
      <c r="R218" s="45"/>
      <c r="S218" s="45"/>
      <c r="T218" s="45"/>
      <c r="U218" s="45"/>
      <c r="V218" s="45"/>
      <c r="W218" s="45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1.25" customHeight="1" x14ac:dyDescent="0.2">
      <c r="A219" s="41" t="s">
        <v>21</v>
      </c>
      <c r="B219" s="41" t="s">
        <v>37</v>
      </c>
      <c r="C219" s="41" t="s">
        <v>23</v>
      </c>
      <c r="D219" s="41" t="s">
        <v>47</v>
      </c>
      <c r="E219" s="41" t="s">
        <v>48</v>
      </c>
      <c r="F219" s="41" t="s">
        <v>25</v>
      </c>
      <c r="G219" s="41" t="s">
        <v>25</v>
      </c>
      <c r="H219" s="41" t="s">
        <v>25</v>
      </c>
      <c r="I219" s="60">
        <v>44409</v>
      </c>
      <c r="J219" s="61">
        <f>EFEITO!$J$219*EFEITO!$Y$217</f>
        <v>0</v>
      </c>
      <c r="K219" s="61">
        <f ca="1">EFEITO!$L$219*EFEITO!$Z$217</f>
        <v>4389.0521042600631</v>
      </c>
      <c r="L219" s="61">
        <f>EFEITO!$N$219*EFEITO!$AA$217</f>
        <v>762.60652822382917</v>
      </c>
      <c r="M219" s="61">
        <f>$J$219-EFEITO!$K$219*EFEITO!$Y$219</f>
        <v>0</v>
      </c>
      <c r="N219" s="61">
        <f ca="1">$K$219-EFEITO!$M$219*EFEITO!$Z$219</f>
        <v>131.67156312780207</v>
      </c>
      <c r="O219" s="61">
        <f>$L$219-EFEITO!$O$219*EFEITO!$AA$219</f>
        <v>22.878195846714902</v>
      </c>
      <c r="P219" s="45"/>
      <c r="Q219" s="45"/>
      <c r="R219" s="45"/>
      <c r="S219" s="45"/>
      <c r="T219" s="45"/>
      <c r="U219" s="45"/>
      <c r="V219" s="45"/>
      <c r="W219" s="45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1.25" customHeight="1" x14ac:dyDescent="0.2">
      <c r="A220" s="41" t="s">
        <v>21</v>
      </c>
      <c r="B220" s="41" t="s">
        <v>37</v>
      </c>
      <c r="C220" s="41" t="s">
        <v>23</v>
      </c>
      <c r="D220" s="41" t="s">
        <v>47</v>
      </c>
      <c r="E220" s="41" t="s">
        <v>48</v>
      </c>
      <c r="F220" s="41" t="s">
        <v>25</v>
      </c>
      <c r="G220" s="41" t="s">
        <v>25</v>
      </c>
      <c r="H220" s="41" t="s">
        <v>25</v>
      </c>
      <c r="I220" s="60">
        <v>44440</v>
      </c>
      <c r="J220" s="61">
        <f>EFEITO!$J$220*EFEITO!$Y$217</f>
        <v>0</v>
      </c>
      <c r="K220" s="61">
        <f ca="1">EFEITO!$L$220*EFEITO!$Z$217</f>
        <v>4255.0352461147177</v>
      </c>
      <c r="L220" s="61">
        <f>EFEITO!$N$220*EFEITO!$AA$217</f>
        <v>739.32083270554438</v>
      </c>
      <c r="M220" s="61">
        <f>$J$220-EFEITO!$K$220*EFEITO!$Y$220</f>
        <v>0</v>
      </c>
      <c r="N220" s="61">
        <f ca="1">$K$220-EFEITO!$M$220*EFEITO!$Z$220</f>
        <v>127.65105738344209</v>
      </c>
      <c r="O220" s="61">
        <f>$L$220-EFEITO!$O$220*EFEITO!$AA$220</f>
        <v>22.179624981166398</v>
      </c>
      <c r="P220" s="45"/>
      <c r="Q220" s="45"/>
      <c r="R220" s="45"/>
      <c r="S220" s="45"/>
      <c r="T220" s="45"/>
      <c r="U220" s="45"/>
      <c r="V220" s="45"/>
      <c r="W220" s="45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1.25" customHeight="1" x14ac:dyDescent="0.2">
      <c r="A221" s="41" t="s">
        <v>21</v>
      </c>
      <c r="B221" s="41" t="s">
        <v>37</v>
      </c>
      <c r="C221" s="41" t="s">
        <v>23</v>
      </c>
      <c r="D221" s="41" t="s">
        <v>47</v>
      </c>
      <c r="E221" s="41" t="s">
        <v>48</v>
      </c>
      <c r="F221" s="41" t="s">
        <v>25</v>
      </c>
      <c r="G221" s="41" t="s">
        <v>25</v>
      </c>
      <c r="H221" s="41" t="s">
        <v>25</v>
      </c>
      <c r="I221" s="60">
        <v>44470</v>
      </c>
      <c r="J221" s="61">
        <f>EFEITO!$J$221*EFEITO!$Y$217</f>
        <v>0</v>
      </c>
      <c r="K221" s="61">
        <f ca="1">EFEITO!$L$221*EFEITO!$Z$217</f>
        <v>4858.1111077687719</v>
      </c>
      <c r="L221" s="61">
        <f>EFEITO!$N$221*EFEITO!$AA$217</f>
        <v>844.10646253782625</v>
      </c>
      <c r="M221" s="61">
        <f>$J$221-EFEITO!$K$221*EFEITO!$Y$221</f>
        <v>0</v>
      </c>
      <c r="N221" s="61">
        <f ca="1">$K$221-EFEITO!$M$221*EFEITO!$Z$221</f>
        <v>145.74333323306291</v>
      </c>
      <c r="O221" s="61">
        <f>$L$221-EFEITO!$O$221*EFEITO!$AA$221</f>
        <v>25.323193876134837</v>
      </c>
      <c r="P221" s="45"/>
      <c r="Q221" s="45"/>
      <c r="R221" s="45"/>
      <c r="S221" s="45"/>
      <c r="T221" s="45"/>
      <c r="U221" s="45"/>
      <c r="V221" s="45"/>
      <c r="W221" s="45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1.25" customHeight="1" x14ac:dyDescent="0.2">
      <c r="A222" s="41" t="s">
        <v>21</v>
      </c>
      <c r="B222" s="41" t="s">
        <v>37</v>
      </c>
      <c r="C222" s="41" t="s">
        <v>23</v>
      </c>
      <c r="D222" s="41" t="s">
        <v>47</v>
      </c>
      <c r="E222" s="41" t="s">
        <v>48</v>
      </c>
      <c r="F222" s="41" t="s">
        <v>25</v>
      </c>
      <c r="G222" s="41" t="s">
        <v>25</v>
      </c>
      <c r="H222" s="41" t="s">
        <v>25</v>
      </c>
      <c r="I222" s="60">
        <v>44501</v>
      </c>
      <c r="J222" s="61">
        <f>EFEITO!$J$222*EFEITO!$Y$217</f>
        <v>0</v>
      </c>
      <c r="K222" s="61">
        <f ca="1">EFEITO!$L$222*EFEITO!$Z$217</f>
        <v>4824.6068932324361</v>
      </c>
      <c r="L222" s="61">
        <f>EFEITO!$N$222*EFEITO!$AA$217</f>
        <v>838.28503865825508</v>
      </c>
      <c r="M222" s="61">
        <f>$J$222-EFEITO!$K$222*EFEITO!$Y$222</f>
        <v>0</v>
      </c>
      <c r="N222" s="61">
        <f ca="1">$K$222-EFEITO!$M$222*EFEITO!$Z$222</f>
        <v>144.73820679697292</v>
      </c>
      <c r="O222" s="61">
        <f>$L$222-EFEITO!$O$222*EFEITO!$AA$222</f>
        <v>25.14855115974774</v>
      </c>
      <c r="P222" s="45"/>
      <c r="Q222" s="45"/>
      <c r="R222" s="45"/>
      <c r="S222" s="45"/>
      <c r="T222" s="45"/>
      <c r="U222" s="45"/>
      <c r="V222" s="45"/>
      <c r="W222" s="45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1.25" customHeight="1" x14ac:dyDescent="0.2">
      <c r="A223" s="41" t="s">
        <v>21</v>
      </c>
      <c r="B223" s="41" t="s">
        <v>37</v>
      </c>
      <c r="C223" s="41" t="s">
        <v>23</v>
      </c>
      <c r="D223" s="41" t="s">
        <v>47</v>
      </c>
      <c r="E223" s="41" t="s">
        <v>48</v>
      </c>
      <c r="F223" s="41" t="s">
        <v>25</v>
      </c>
      <c r="G223" s="41" t="s">
        <v>25</v>
      </c>
      <c r="H223" s="41" t="s">
        <v>25</v>
      </c>
      <c r="I223" s="60">
        <v>44531</v>
      </c>
      <c r="J223" s="61">
        <f>EFEITO!$J$223*EFEITO!$Y$217</f>
        <v>0</v>
      </c>
      <c r="K223" s="61">
        <f ca="1">EFEITO!$L$223*EFEITO!$Z$217</f>
        <v>4188.026817042045</v>
      </c>
      <c r="L223" s="61">
        <f>EFEITO!$N$223*EFEITO!$AA$217</f>
        <v>727.67798494640192</v>
      </c>
      <c r="M223" s="61">
        <f>$J$223-EFEITO!$K$223*EFEITO!$Y$223</f>
        <v>0</v>
      </c>
      <c r="N223" s="61">
        <f ca="1">$K$223-EFEITO!$M$223*EFEITO!$Z$223</f>
        <v>125.64080451126119</v>
      </c>
      <c r="O223" s="61">
        <f>$L$223-EFEITO!$O$223*EFEITO!$AA$223</f>
        <v>21.830339548392089</v>
      </c>
      <c r="P223" s="45"/>
      <c r="Q223" s="45"/>
      <c r="R223" s="45"/>
      <c r="S223" s="45"/>
      <c r="T223" s="45"/>
      <c r="U223" s="45"/>
      <c r="V223" s="45"/>
      <c r="W223" s="45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1.25" customHeight="1" x14ac:dyDescent="0.2">
      <c r="A224" s="41" t="s">
        <v>21</v>
      </c>
      <c r="B224" s="41" t="s">
        <v>37</v>
      </c>
      <c r="C224" s="41" t="s">
        <v>23</v>
      </c>
      <c r="D224" s="41" t="s">
        <v>47</v>
      </c>
      <c r="E224" s="41" t="s">
        <v>48</v>
      </c>
      <c r="F224" s="41" t="s">
        <v>25</v>
      </c>
      <c r="G224" s="41" t="s">
        <v>25</v>
      </c>
      <c r="H224" s="41" t="s">
        <v>25</v>
      </c>
      <c r="I224" s="60">
        <v>44562</v>
      </c>
      <c r="J224" s="61">
        <f>EFEITO!$J$224*EFEITO!$Y$217</f>
        <v>0</v>
      </c>
      <c r="K224" s="61">
        <f ca="1">EFEITO!$L$224*EFEITO!$Z$217</f>
        <v>5092.6406095231268</v>
      </c>
      <c r="L224" s="61">
        <f>EFEITO!$N$224*EFEITO!$AA$217</f>
        <v>884.85642969482467</v>
      </c>
      <c r="M224" s="61">
        <f>$J$224-EFEITO!$K$224*EFEITO!$Y$224</f>
        <v>0</v>
      </c>
      <c r="N224" s="61">
        <f ca="1">$K$224-EFEITO!$M$224*EFEITO!$Z$224</f>
        <v>152.7792182856947</v>
      </c>
      <c r="O224" s="61">
        <f>$L$224-EFEITO!$O$224*EFEITO!$AA$224</f>
        <v>26.545692890844748</v>
      </c>
      <c r="P224" s="45"/>
      <c r="Q224" s="45"/>
      <c r="R224" s="45"/>
      <c r="S224" s="45"/>
      <c r="T224" s="45"/>
      <c r="U224" s="45"/>
      <c r="V224" s="45"/>
      <c r="W224" s="45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1.25" customHeight="1" x14ac:dyDescent="0.2">
      <c r="A225" s="41" t="s">
        <v>21</v>
      </c>
      <c r="B225" s="41" t="s">
        <v>37</v>
      </c>
      <c r="C225" s="41" t="s">
        <v>23</v>
      </c>
      <c r="D225" s="41" t="s">
        <v>47</v>
      </c>
      <c r="E225" s="41" t="s">
        <v>48</v>
      </c>
      <c r="F225" s="41" t="s">
        <v>25</v>
      </c>
      <c r="G225" s="41" t="s">
        <v>25</v>
      </c>
      <c r="H225" s="41" t="s">
        <v>25</v>
      </c>
      <c r="I225" s="60">
        <v>44593</v>
      </c>
      <c r="J225" s="61">
        <f>EFEITO!$J$225*EFEITO!$Y$217</f>
        <v>0</v>
      </c>
      <c r="K225" s="61">
        <f ca="1">EFEITO!$L$225*EFEITO!$Z$217</f>
        <v>4891.6153223051087</v>
      </c>
      <c r="L225" s="61">
        <f>EFEITO!$N$225*EFEITO!$AA$217</f>
        <v>849.92788641739742</v>
      </c>
      <c r="M225" s="61">
        <f>$J$225-EFEITO!$K$225*EFEITO!$Y$225</f>
        <v>0</v>
      </c>
      <c r="N225" s="61">
        <f ca="1">$K$225-EFEITO!$M$225*EFEITO!$Z$225</f>
        <v>146.74845966915382</v>
      </c>
      <c r="O225" s="61">
        <f>$L$225-EFEITO!$O$225*EFEITO!$AA$225</f>
        <v>25.497836592521935</v>
      </c>
      <c r="P225" s="45"/>
      <c r="Q225" s="45"/>
      <c r="R225" s="45"/>
      <c r="S225" s="45"/>
      <c r="T225" s="45"/>
      <c r="U225" s="45"/>
      <c r="V225" s="45"/>
      <c r="W225" s="45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1.25" customHeight="1" x14ac:dyDescent="0.2">
      <c r="A226" s="41" t="s">
        <v>21</v>
      </c>
      <c r="B226" s="41" t="s">
        <v>37</v>
      </c>
      <c r="C226" s="41" t="s">
        <v>23</v>
      </c>
      <c r="D226" s="41" t="s">
        <v>47</v>
      </c>
      <c r="E226" s="41" t="s">
        <v>48</v>
      </c>
      <c r="F226" s="41" t="s">
        <v>25</v>
      </c>
      <c r="G226" s="41" t="s">
        <v>25</v>
      </c>
      <c r="H226" s="41" t="s">
        <v>25</v>
      </c>
      <c r="I226" s="60">
        <v>44621</v>
      </c>
      <c r="J226" s="61">
        <f>EFEITO!$J$226*EFEITO!$Y$217</f>
        <v>0</v>
      </c>
      <c r="K226" s="61">
        <f ca="1">EFEITO!$L$226*EFEITO!$Z$217</f>
        <v>2747.3455919795815</v>
      </c>
      <c r="L226" s="61">
        <f>EFEITO!$N$226*EFEITO!$AA$217</f>
        <v>477.35675812483964</v>
      </c>
      <c r="M226" s="61">
        <f>$J$226-EFEITO!$K$226*EFEITO!$Y$226</f>
        <v>0</v>
      </c>
      <c r="N226" s="61">
        <f ca="1">$K$226-EFEITO!$M$226*EFEITO!$Z$226</f>
        <v>82.420367759387773</v>
      </c>
      <c r="O226" s="61">
        <f>$L$226-EFEITO!$O$226*EFEITO!$AA$226</f>
        <v>14.320702743745244</v>
      </c>
      <c r="P226" s="45"/>
      <c r="Q226" s="45"/>
      <c r="R226" s="45"/>
      <c r="S226" s="45"/>
      <c r="T226" s="45"/>
      <c r="U226" s="45"/>
      <c r="V226" s="45"/>
      <c r="W226" s="45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1.25" customHeight="1" x14ac:dyDescent="0.2">
      <c r="A227" s="41" t="s">
        <v>21</v>
      </c>
      <c r="B227" s="41" t="s">
        <v>37</v>
      </c>
      <c r="C227" s="41" t="s">
        <v>23</v>
      </c>
      <c r="D227" s="41" t="s">
        <v>47</v>
      </c>
      <c r="E227" s="41" t="s">
        <v>48</v>
      </c>
      <c r="F227" s="41" t="s">
        <v>25</v>
      </c>
      <c r="G227" s="41" t="s">
        <v>25</v>
      </c>
      <c r="H227" s="41" t="s">
        <v>25</v>
      </c>
      <c r="I227" s="60">
        <v>44652</v>
      </c>
      <c r="J227" s="61">
        <f>EFEITO!$J$227*EFEITO!$Y$217</f>
        <v>0</v>
      </c>
      <c r="K227" s="61">
        <f ca="1">EFEITO!$L$227*EFEITO!$Z$217</f>
        <v>5829.7333293225265</v>
      </c>
      <c r="L227" s="61">
        <f>EFEITO!$N$227*EFEITO!$AA$217</f>
        <v>1012.9277550453915</v>
      </c>
      <c r="M227" s="61">
        <f>$J$227-EFEITO!$K$227*EFEITO!$Y$227</f>
        <v>0</v>
      </c>
      <c r="N227" s="61">
        <f ca="1">$K$227-EFEITO!$M$227*EFEITO!$Z$227</f>
        <v>174.8919998796764</v>
      </c>
      <c r="O227" s="61">
        <f>$L$227-EFEITO!$O$227*EFEITO!$AA$227</f>
        <v>30.387832651361805</v>
      </c>
      <c r="P227" s="45"/>
      <c r="Q227" s="45"/>
      <c r="R227" s="45"/>
      <c r="S227" s="45"/>
      <c r="T227" s="45"/>
      <c r="U227" s="45"/>
      <c r="V227" s="45"/>
      <c r="W227" s="45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1.25" customHeight="1" x14ac:dyDescent="0.2">
      <c r="A228" s="41" t="s">
        <v>21</v>
      </c>
      <c r="B228" s="41" t="s">
        <v>37</v>
      </c>
      <c r="C228" s="41" t="s">
        <v>23</v>
      </c>
      <c r="D228" s="41" t="s">
        <v>47</v>
      </c>
      <c r="E228" s="41" t="s">
        <v>48</v>
      </c>
      <c r="F228" s="41" t="s">
        <v>25</v>
      </c>
      <c r="G228" s="41" t="s">
        <v>25</v>
      </c>
      <c r="H228" s="41" t="s">
        <v>25</v>
      </c>
      <c r="I228" s="60">
        <v>44682</v>
      </c>
      <c r="J228" s="61">
        <f>EFEITO!$J$228*EFEITO!$Y$217</f>
        <v>0</v>
      </c>
      <c r="K228" s="61">
        <f ca="1">EFEITO!$L$228*EFEITO!$Z$217</f>
        <v>5963.7501874678719</v>
      </c>
      <c r="L228" s="61">
        <f>EFEITO!$N$228*EFEITO!$AA$217</f>
        <v>1036.2134505636764</v>
      </c>
      <c r="M228" s="61">
        <f>$J$228-EFEITO!$K$228*EFEITO!$Y$228</f>
        <v>0</v>
      </c>
      <c r="N228" s="61">
        <f ca="1">$K$228-EFEITO!$M$228*EFEITO!$Z$228</f>
        <v>178.91250562403548</v>
      </c>
      <c r="O228" s="61">
        <f>$L$228-EFEITO!$O$228*EFEITO!$AA$228</f>
        <v>31.086403516910309</v>
      </c>
      <c r="P228" s="45"/>
      <c r="Q228" s="45"/>
      <c r="R228" s="45"/>
      <c r="S228" s="45"/>
      <c r="T228" s="45"/>
      <c r="U228" s="45"/>
      <c r="V228" s="45"/>
      <c r="W228" s="45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1.25" customHeight="1" x14ac:dyDescent="0.2">
      <c r="A229" s="41" t="s">
        <v>21</v>
      </c>
      <c r="B229" s="41" t="s">
        <v>37</v>
      </c>
      <c r="C229" s="41" t="s">
        <v>23</v>
      </c>
      <c r="D229" s="41" t="s">
        <v>47</v>
      </c>
      <c r="E229" s="41" t="s">
        <v>48</v>
      </c>
      <c r="F229" s="41" t="s">
        <v>25</v>
      </c>
      <c r="G229" s="41" t="s">
        <v>25</v>
      </c>
      <c r="H229" s="41" t="s">
        <v>25</v>
      </c>
      <c r="I229" s="60">
        <v>44713</v>
      </c>
      <c r="J229" s="61">
        <f>EFEITO!$J$229*EFEITO!$Y$217</f>
        <v>0</v>
      </c>
      <c r="K229" s="61">
        <f ca="1">EFEITO!$L$229*EFEITO!$Z$217</f>
        <v>5796.2291147861906</v>
      </c>
      <c r="L229" s="61">
        <f>EFEITO!$N$229*EFEITO!$AA$217</f>
        <v>1007.1063311658203</v>
      </c>
      <c r="M229" s="61">
        <f>$J$229-EFEITO!$K$229*EFEITO!$Y$229</f>
        <v>0</v>
      </c>
      <c r="N229" s="61">
        <f ca="1">$K$229-EFEITO!$M$229*EFEITO!$Z$229</f>
        <v>173.8868734435855</v>
      </c>
      <c r="O229" s="61">
        <f>$L$229-EFEITO!$O$229*EFEITO!$AA$229</f>
        <v>30.213189934974594</v>
      </c>
      <c r="P229" s="45"/>
      <c r="Q229" s="45"/>
      <c r="R229" s="45"/>
      <c r="S229" s="45"/>
      <c r="T229" s="45"/>
      <c r="U229" s="45"/>
      <c r="V229" s="45"/>
      <c r="W229" s="45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1.25" customHeight="1" x14ac:dyDescent="0.2">
      <c r="A230" s="41" t="s">
        <v>21</v>
      </c>
      <c r="B230" s="41" t="s">
        <v>44</v>
      </c>
      <c r="C230" s="41" t="s">
        <v>23</v>
      </c>
      <c r="D230" s="41" t="s">
        <v>45</v>
      </c>
      <c r="E230" s="41" t="s">
        <v>46</v>
      </c>
      <c r="F230" s="41" t="s">
        <v>25</v>
      </c>
      <c r="G230" s="41" t="s">
        <v>25</v>
      </c>
      <c r="H230" s="41" t="s">
        <v>25</v>
      </c>
      <c r="I230" s="60">
        <v>44378</v>
      </c>
      <c r="J230" s="61">
        <f>EFEITO!$J$230*EFEITO!$Y$230</f>
        <v>0</v>
      </c>
      <c r="K230" s="61">
        <f ca="1">EFEITO!$L$230*EFEITO!$Z$230</f>
        <v>14772.443743859678</v>
      </c>
      <c r="L230" s="61">
        <f>EFEITO!$N$230*EFEITO!$AA$230</f>
        <v>2566.7414670133835</v>
      </c>
      <c r="M230" s="61">
        <f>$J$230-EFEITO!$K$230*EFEITO!$Y$230</f>
        <v>0</v>
      </c>
      <c r="N230" s="61">
        <f ca="1">$K$230-EFEITO!$M$230*EFEITO!$Z$230</f>
        <v>0</v>
      </c>
      <c r="O230" s="61">
        <f>$L$230-EFEITO!$O$230*EFEITO!$AA$230</f>
        <v>0</v>
      </c>
      <c r="P230" s="45"/>
      <c r="Q230" s="45"/>
      <c r="R230" s="45"/>
      <c r="S230" s="45"/>
      <c r="T230" s="45"/>
      <c r="U230" s="45"/>
      <c r="V230" s="45"/>
      <c r="W230" s="45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1.25" customHeight="1" x14ac:dyDescent="0.2">
      <c r="A231" s="41" t="s">
        <v>21</v>
      </c>
      <c r="B231" s="41" t="s">
        <v>44</v>
      </c>
      <c r="C231" s="41" t="s">
        <v>23</v>
      </c>
      <c r="D231" s="41" t="s">
        <v>45</v>
      </c>
      <c r="E231" s="41" t="s">
        <v>46</v>
      </c>
      <c r="F231" s="41" t="s">
        <v>25</v>
      </c>
      <c r="G231" s="41" t="s">
        <v>25</v>
      </c>
      <c r="H231" s="41" t="s">
        <v>25</v>
      </c>
      <c r="I231" s="60">
        <v>44409</v>
      </c>
      <c r="J231" s="61">
        <f>EFEITO!$J$231*EFEITO!$Y$231</f>
        <v>0</v>
      </c>
      <c r="K231" s="61">
        <f ca="1">EFEITO!$L$231*EFEITO!$Z$231</f>
        <v>15265.558773405477</v>
      </c>
      <c r="L231" s="61">
        <f>EFEITO!$N$231*EFEITO!$AA$231</f>
        <v>2652.4211836729128</v>
      </c>
      <c r="M231" s="61">
        <f>$J$231-EFEITO!$K$231*EFEITO!$Y$231</f>
        <v>0</v>
      </c>
      <c r="N231" s="61">
        <f ca="1">$K$231-EFEITO!$M$231*EFEITO!$Z$231</f>
        <v>0</v>
      </c>
      <c r="O231" s="61">
        <f>$L$231-EFEITO!$O$231*EFEITO!$AA$231</f>
        <v>0</v>
      </c>
      <c r="P231" s="45"/>
      <c r="Q231" s="45"/>
      <c r="R231" s="45"/>
      <c r="S231" s="45"/>
      <c r="T231" s="45"/>
      <c r="U231" s="45"/>
      <c r="V231" s="45"/>
      <c r="W231" s="45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1.25" customHeight="1" x14ac:dyDescent="0.2">
      <c r="A232" s="41" t="s">
        <v>21</v>
      </c>
      <c r="B232" s="41" t="s">
        <v>44</v>
      </c>
      <c r="C232" s="41" t="s">
        <v>23</v>
      </c>
      <c r="D232" s="41" t="s">
        <v>45</v>
      </c>
      <c r="E232" s="41" t="s">
        <v>46</v>
      </c>
      <c r="F232" s="41" t="s">
        <v>25</v>
      </c>
      <c r="G232" s="41" t="s">
        <v>25</v>
      </c>
      <c r="H232" s="41" t="s">
        <v>25</v>
      </c>
      <c r="I232" s="60">
        <v>44440</v>
      </c>
      <c r="J232" s="61">
        <f>EFEITO!$J$232*EFEITO!$Y$232</f>
        <v>0</v>
      </c>
      <c r="K232" s="61">
        <f ca="1">EFEITO!$L$232*EFEITO!$Z$232</f>
        <v>15386.810525812478</v>
      </c>
      <c r="L232" s="61">
        <f>EFEITO!$N$232*EFEITO!$AA$232</f>
        <v>2673.4889166930811</v>
      </c>
      <c r="M232" s="61">
        <f>$J$232-EFEITO!$K$232*EFEITO!$Y$232</f>
        <v>0</v>
      </c>
      <c r="N232" s="61">
        <f ca="1">$K$232-EFEITO!$M$232*EFEITO!$Z$232</f>
        <v>0</v>
      </c>
      <c r="O232" s="61">
        <f>$L$232-EFEITO!$O$232*EFEITO!$AA$232</f>
        <v>0</v>
      </c>
      <c r="P232" s="45"/>
      <c r="Q232" s="45"/>
      <c r="R232" s="45"/>
      <c r="S232" s="45"/>
      <c r="T232" s="45"/>
      <c r="U232" s="45"/>
      <c r="V232" s="45"/>
      <c r="W232" s="45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1.25" customHeight="1" x14ac:dyDescent="0.2">
      <c r="A233" s="41" t="s">
        <v>21</v>
      </c>
      <c r="B233" s="41" t="s">
        <v>44</v>
      </c>
      <c r="C233" s="41" t="s">
        <v>23</v>
      </c>
      <c r="D233" s="41" t="s">
        <v>45</v>
      </c>
      <c r="E233" s="41" t="s">
        <v>46</v>
      </c>
      <c r="F233" s="41" t="s">
        <v>25</v>
      </c>
      <c r="G233" s="41" t="s">
        <v>25</v>
      </c>
      <c r="H233" s="41" t="s">
        <v>25</v>
      </c>
      <c r="I233" s="60">
        <v>44470</v>
      </c>
      <c r="J233" s="61">
        <f>EFEITO!$J$233*EFEITO!$Y$233</f>
        <v>0</v>
      </c>
      <c r="K233" s="61">
        <f ca="1">EFEITO!$L$233*EFEITO!$Z$233</f>
        <v>14974.407149084713</v>
      </c>
      <c r="L233" s="61">
        <f>EFEITO!$N$233*EFEITO!$AA$233</f>
        <v>2601.8330101594388</v>
      </c>
      <c r="M233" s="61">
        <f>$J$233-EFEITO!$K$233*EFEITO!$Y$233</f>
        <v>0</v>
      </c>
      <c r="N233" s="61">
        <f ca="1">$K$233-EFEITO!$M$233*EFEITO!$Z$233</f>
        <v>0</v>
      </c>
      <c r="O233" s="61">
        <f>$L$233-EFEITO!$O$233*EFEITO!$AA$233</f>
        <v>0</v>
      </c>
      <c r="P233" s="45"/>
      <c r="Q233" s="45"/>
      <c r="R233" s="45"/>
      <c r="S233" s="45"/>
      <c r="T233" s="45"/>
      <c r="U233" s="45"/>
      <c r="V233" s="45"/>
      <c r="W233" s="45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1.25" customHeight="1" x14ac:dyDescent="0.2">
      <c r="A234" s="41" t="s">
        <v>21</v>
      </c>
      <c r="B234" s="41" t="s">
        <v>44</v>
      </c>
      <c r="C234" s="41" t="s">
        <v>23</v>
      </c>
      <c r="D234" s="41" t="s">
        <v>45</v>
      </c>
      <c r="E234" s="41" t="s">
        <v>46</v>
      </c>
      <c r="F234" s="41" t="s">
        <v>25</v>
      </c>
      <c r="G234" s="41" t="s">
        <v>25</v>
      </c>
      <c r="H234" s="41" t="s">
        <v>25</v>
      </c>
      <c r="I234" s="60">
        <v>44501</v>
      </c>
      <c r="J234" s="61">
        <f>EFEITO!$J$234*EFEITO!$Y$234</f>
        <v>0</v>
      </c>
      <c r="K234" s="61">
        <f ca="1">EFEITO!$L$234*EFEITO!$Z$234</f>
        <v>15474.524559468606</v>
      </c>
      <c r="L234" s="61">
        <f>EFEITO!$N$234*EFEITO!$AA$234</f>
        <v>2688.7294044097985</v>
      </c>
      <c r="M234" s="61">
        <f>$J$234-EFEITO!$K$234*EFEITO!$Y$234</f>
        <v>0</v>
      </c>
      <c r="N234" s="61">
        <f ca="1">$K$234-EFEITO!$M$234*EFEITO!$Z$234</f>
        <v>0</v>
      </c>
      <c r="O234" s="61">
        <f>$L$234-EFEITO!$O$234*EFEITO!$AA$234</f>
        <v>0</v>
      </c>
      <c r="P234" s="45"/>
      <c r="Q234" s="45"/>
      <c r="R234" s="45"/>
      <c r="S234" s="45"/>
      <c r="T234" s="45"/>
      <c r="U234" s="45"/>
      <c r="V234" s="45"/>
      <c r="W234" s="45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1.25" customHeight="1" x14ac:dyDescent="0.2">
      <c r="A235" s="41" t="s">
        <v>21</v>
      </c>
      <c r="B235" s="41" t="s">
        <v>44</v>
      </c>
      <c r="C235" s="41" t="s">
        <v>23</v>
      </c>
      <c r="D235" s="41" t="s">
        <v>45</v>
      </c>
      <c r="E235" s="41" t="s">
        <v>46</v>
      </c>
      <c r="F235" s="41" t="s">
        <v>25</v>
      </c>
      <c r="G235" s="41" t="s">
        <v>25</v>
      </c>
      <c r="H235" s="41" t="s">
        <v>25</v>
      </c>
      <c r="I235" s="60">
        <v>44531</v>
      </c>
      <c r="J235" s="61">
        <f>EFEITO!$J$235*EFEITO!$Y$235</f>
        <v>0</v>
      </c>
      <c r="K235" s="61">
        <f ca="1">EFEITO!$L$235*EFEITO!$Z$235</f>
        <v>14869.7399828732</v>
      </c>
      <c r="L235" s="61">
        <f>EFEITO!$N$235*EFEITO!$AA$235</f>
        <v>2583.6468819596585</v>
      </c>
      <c r="M235" s="61">
        <f>$J$235-EFEITO!$K$235*EFEITO!$Y$235</f>
        <v>0</v>
      </c>
      <c r="N235" s="61">
        <f ca="1">$K$235-EFEITO!$M$235*EFEITO!$Z$235</f>
        <v>0</v>
      </c>
      <c r="O235" s="61">
        <f>$L$235-EFEITO!$O$235*EFEITO!$AA$235</f>
        <v>0</v>
      </c>
      <c r="P235" s="45"/>
      <c r="Q235" s="45"/>
      <c r="R235" s="45"/>
      <c r="S235" s="45"/>
      <c r="T235" s="45"/>
      <c r="U235" s="45"/>
      <c r="V235" s="45"/>
      <c r="W235" s="45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1.25" customHeight="1" x14ac:dyDescent="0.2">
      <c r="A236" s="41" t="s">
        <v>21</v>
      </c>
      <c r="B236" s="41" t="s">
        <v>44</v>
      </c>
      <c r="C236" s="41" t="s">
        <v>23</v>
      </c>
      <c r="D236" s="41" t="s">
        <v>45</v>
      </c>
      <c r="E236" s="41" t="s">
        <v>46</v>
      </c>
      <c r="F236" s="41" t="s">
        <v>25</v>
      </c>
      <c r="G236" s="41" t="s">
        <v>25</v>
      </c>
      <c r="H236" s="41" t="s">
        <v>25</v>
      </c>
      <c r="I236" s="60">
        <v>44562</v>
      </c>
      <c r="J236" s="61">
        <f>EFEITO!$J$236*EFEITO!$Y$236</f>
        <v>0</v>
      </c>
      <c r="K236" s="61">
        <f ca="1">EFEITO!$L$236*EFEITO!$Z$236</f>
        <v>15474.524559468606</v>
      </c>
      <c r="L236" s="61">
        <f>EFEITO!$N$236*EFEITO!$AA$236</f>
        <v>2688.7294044097985</v>
      </c>
      <c r="M236" s="61">
        <f>$J$236-EFEITO!$K$236*EFEITO!$Y$236</f>
        <v>0</v>
      </c>
      <c r="N236" s="61">
        <f ca="1">$K$236-EFEITO!$M$236*EFEITO!$Z$236</f>
        <v>0</v>
      </c>
      <c r="O236" s="61">
        <f>$L$236-EFEITO!$O$236*EFEITO!$AA$236</f>
        <v>0</v>
      </c>
      <c r="P236" s="45"/>
      <c r="Q236" s="45"/>
      <c r="R236" s="45"/>
      <c r="S236" s="45"/>
      <c r="T236" s="45"/>
      <c r="U236" s="45"/>
      <c r="V236" s="45"/>
      <c r="W236" s="45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1.25" customHeight="1" x14ac:dyDescent="0.2">
      <c r="A237" s="41" t="s">
        <v>21</v>
      </c>
      <c r="B237" s="41" t="s">
        <v>44</v>
      </c>
      <c r="C237" s="41" t="s">
        <v>23</v>
      </c>
      <c r="D237" s="41" t="s">
        <v>45</v>
      </c>
      <c r="E237" s="41" t="s">
        <v>46</v>
      </c>
      <c r="F237" s="41" t="s">
        <v>25</v>
      </c>
      <c r="G237" s="41" t="s">
        <v>25</v>
      </c>
      <c r="H237" s="41" t="s">
        <v>25</v>
      </c>
      <c r="I237" s="60">
        <v>44593</v>
      </c>
      <c r="J237" s="61">
        <f>EFEITO!$J$237*EFEITO!$Y$237</f>
        <v>0</v>
      </c>
      <c r="K237" s="61">
        <f ca="1">EFEITO!$L$237*EFEITO!$Z$237</f>
        <v>15359.906641539799</v>
      </c>
      <c r="L237" s="61">
        <f>EFEITO!$N$237*EFEITO!$AA$237</f>
        <v>2668.814313317785</v>
      </c>
      <c r="M237" s="61">
        <f>$J$237-EFEITO!$K$237*EFEITO!$Y$237</f>
        <v>0</v>
      </c>
      <c r="N237" s="61">
        <f ca="1">$K$237-EFEITO!$M$237*EFEITO!$Z$237</f>
        <v>0</v>
      </c>
      <c r="O237" s="61">
        <f>$L$237-EFEITO!$O$237*EFEITO!$AA$237</f>
        <v>0</v>
      </c>
      <c r="P237" s="45"/>
      <c r="Q237" s="45"/>
      <c r="R237" s="45"/>
      <c r="S237" s="45"/>
      <c r="T237" s="45"/>
      <c r="U237" s="45"/>
      <c r="V237" s="45"/>
      <c r="W237" s="45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1.25" customHeight="1" x14ac:dyDescent="0.2">
      <c r="A238" s="41" t="s">
        <v>21</v>
      </c>
      <c r="B238" s="41" t="s">
        <v>44</v>
      </c>
      <c r="C238" s="41" t="s">
        <v>23</v>
      </c>
      <c r="D238" s="41" t="s">
        <v>45</v>
      </c>
      <c r="E238" s="41" t="s">
        <v>46</v>
      </c>
      <c r="F238" s="41" t="s">
        <v>25</v>
      </c>
      <c r="G238" s="41" t="s">
        <v>25</v>
      </c>
      <c r="H238" s="41" t="s">
        <v>25</v>
      </c>
      <c r="I238" s="60">
        <v>44621</v>
      </c>
      <c r="J238" s="61">
        <f>EFEITO!$J$238*EFEITO!$Y$238</f>
        <v>0</v>
      </c>
      <c r="K238" s="61">
        <f ca="1">EFEITO!$L$238*EFEITO!$Z$238</f>
        <v>13878.718821102906</v>
      </c>
      <c r="L238" s="61">
        <f>EFEITO!$N$238*EFEITO!$AA$238</f>
        <v>2411.4549850258213</v>
      </c>
      <c r="M238" s="61">
        <f>$J$238-EFEITO!$K$238*EFEITO!$Y$238</f>
        <v>0</v>
      </c>
      <c r="N238" s="61">
        <f ca="1">$K$238-EFEITO!$M$238*EFEITO!$Z$238</f>
        <v>0</v>
      </c>
      <c r="O238" s="61">
        <f>$L$238-EFEITO!$O$238*EFEITO!$AA$238</f>
        <v>0</v>
      </c>
      <c r="P238" s="45"/>
      <c r="Q238" s="45"/>
      <c r="R238" s="45"/>
      <c r="S238" s="45"/>
      <c r="T238" s="45"/>
      <c r="U238" s="45"/>
      <c r="V238" s="45"/>
      <c r="W238" s="45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1.25" customHeight="1" x14ac:dyDescent="0.2">
      <c r="A239" s="41" t="s">
        <v>21</v>
      </c>
      <c r="B239" s="41" t="s">
        <v>44</v>
      </c>
      <c r="C239" s="41" t="s">
        <v>23</v>
      </c>
      <c r="D239" s="41" t="s">
        <v>45</v>
      </c>
      <c r="E239" s="41" t="s">
        <v>46</v>
      </c>
      <c r="F239" s="41" t="s">
        <v>25</v>
      </c>
      <c r="G239" s="41" t="s">
        <v>25</v>
      </c>
      <c r="H239" s="41" t="s">
        <v>25</v>
      </c>
      <c r="I239" s="60">
        <v>44652</v>
      </c>
      <c r="J239" s="61">
        <f>EFEITO!$J$239*EFEITO!$Y$239</f>
        <v>0</v>
      </c>
      <c r="K239" s="61">
        <f ca="1">EFEITO!$L$239*EFEITO!$Z$239</f>
        <v>15366.540476017994</v>
      </c>
      <c r="L239" s="61">
        <f>EFEITO!$N$239*EFEITO!$AA$239</f>
        <v>2669.9669552459404</v>
      </c>
      <c r="M239" s="61">
        <f>$J$239-EFEITO!$K$239*EFEITO!$Y$239</f>
        <v>0</v>
      </c>
      <c r="N239" s="61">
        <f ca="1">$K$239-EFEITO!$M$239*EFEITO!$Z$239</f>
        <v>0</v>
      </c>
      <c r="O239" s="61">
        <f>$L$239-EFEITO!$O$239*EFEITO!$AA$239</f>
        <v>0</v>
      </c>
      <c r="P239" s="45"/>
      <c r="Q239" s="45"/>
      <c r="R239" s="45"/>
      <c r="S239" s="45"/>
      <c r="T239" s="45"/>
      <c r="U239" s="45"/>
      <c r="V239" s="45"/>
      <c r="W239" s="45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1.25" customHeight="1" x14ac:dyDescent="0.2">
      <c r="A240" s="41" t="s">
        <v>21</v>
      </c>
      <c r="B240" s="41" t="s">
        <v>44</v>
      </c>
      <c r="C240" s="41" t="s">
        <v>23</v>
      </c>
      <c r="D240" s="41" t="s">
        <v>45</v>
      </c>
      <c r="E240" s="41" t="s">
        <v>46</v>
      </c>
      <c r="F240" s="41" t="s">
        <v>25</v>
      </c>
      <c r="G240" s="41" t="s">
        <v>25</v>
      </c>
      <c r="H240" s="41" t="s">
        <v>25</v>
      </c>
      <c r="I240" s="60">
        <v>44682</v>
      </c>
      <c r="J240" s="61">
        <f>EFEITO!$J$240*EFEITO!$Y$240</f>
        <v>0</v>
      </c>
      <c r="K240" s="61">
        <f ca="1">EFEITO!$L$240*EFEITO!$Z$240</f>
        <v>14870.108529233097</v>
      </c>
      <c r="L240" s="61">
        <f>EFEITO!$N$240*EFEITO!$AA$240</f>
        <v>2583.7109176223335</v>
      </c>
      <c r="M240" s="61">
        <f>$J$240-EFEITO!$K$240*EFEITO!$Y$240</f>
        <v>0</v>
      </c>
      <c r="N240" s="61">
        <f ca="1">$K$240-EFEITO!$M$240*EFEITO!$Z$240</f>
        <v>0</v>
      </c>
      <c r="O240" s="61">
        <f>$L$240-EFEITO!$O$240*EFEITO!$AA$240</f>
        <v>0</v>
      </c>
      <c r="P240" s="45"/>
      <c r="Q240" s="45"/>
      <c r="R240" s="45"/>
      <c r="S240" s="45"/>
      <c r="T240" s="45"/>
      <c r="U240" s="45"/>
      <c r="V240" s="45"/>
      <c r="W240" s="45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1.25" customHeight="1" x14ac:dyDescent="0.2">
      <c r="A241" s="41" t="s">
        <v>21</v>
      </c>
      <c r="B241" s="41" t="s">
        <v>44</v>
      </c>
      <c r="C241" s="41" t="s">
        <v>23</v>
      </c>
      <c r="D241" s="41" t="s">
        <v>45</v>
      </c>
      <c r="E241" s="41" t="s">
        <v>46</v>
      </c>
      <c r="F241" s="41" t="s">
        <v>25</v>
      </c>
      <c r="G241" s="41" t="s">
        <v>25</v>
      </c>
      <c r="H241" s="41" t="s">
        <v>25</v>
      </c>
      <c r="I241" s="60">
        <v>44713</v>
      </c>
      <c r="J241" s="61">
        <f>EFEITO!$J$241*EFEITO!$Y$241</f>
        <v>0</v>
      </c>
      <c r="K241" s="61">
        <f ca="1">EFEITO!$L$241*EFEITO!$Z$241</f>
        <v>15366.540476017994</v>
      </c>
      <c r="L241" s="61">
        <f>EFEITO!$N$241*EFEITO!$AA$241</f>
        <v>2669.9669552459404</v>
      </c>
      <c r="M241" s="61">
        <f>$J$241-EFEITO!$K$241*EFEITO!$Y$241</f>
        <v>0</v>
      </c>
      <c r="N241" s="61">
        <f ca="1">$K$241-EFEITO!$M$241*EFEITO!$Z$241</f>
        <v>0</v>
      </c>
      <c r="O241" s="61">
        <f>$L$241-EFEITO!$O$241*EFEITO!$AA$241</f>
        <v>0</v>
      </c>
      <c r="P241" s="45"/>
      <c r="Q241" s="45"/>
      <c r="R241" s="45"/>
      <c r="S241" s="45"/>
      <c r="T241" s="45"/>
      <c r="U241" s="45"/>
      <c r="V241" s="45"/>
      <c r="W241" s="45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7DBE-E6CD-4E49-90DF-787836D1152D}">
  <dimension ref="A1:BD103"/>
  <sheetViews>
    <sheetView showGridLines="0" topLeftCell="B30" workbookViewId="0">
      <selection activeCell="L53" sqref="L53:BD103"/>
    </sheetView>
  </sheetViews>
  <sheetFormatPr defaultRowHeight="11.25" customHeight="1" x14ac:dyDescent="0.25"/>
  <cols>
    <col min="1" max="1" width="9.28515625" style="9" bestFit="1" customWidth="1"/>
    <col min="2" max="2" width="23.42578125" style="9" bestFit="1" customWidth="1"/>
    <col min="3" max="3" width="33" style="9" bestFit="1" customWidth="1"/>
    <col min="4" max="4" width="56.140625" style="9" bestFit="1" customWidth="1"/>
    <col min="5" max="5" width="65.7109375" style="9" bestFit="1" customWidth="1"/>
    <col min="6" max="6" width="75.42578125" style="9" bestFit="1" customWidth="1"/>
    <col min="7" max="7" width="7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7.42578125" style="9" bestFit="1" customWidth="1"/>
    <col min="21" max="21" width="7.28515625" style="9" bestFit="1" customWidth="1"/>
    <col min="22" max="23" width="9.85546875" style="9" bestFit="1" customWidth="1"/>
    <col min="24" max="24" width="10" style="9" bestFit="1" customWidth="1"/>
    <col min="25" max="25" width="7.7109375" style="9" bestFit="1" customWidth="1"/>
    <col min="26" max="26" width="9.85546875" style="9" bestFit="1" customWidth="1"/>
    <col min="27" max="27" width="11.7109375" style="9" bestFit="1" customWidth="1"/>
    <col min="28" max="28" width="9.28515625" style="9" bestFit="1" customWidth="1"/>
    <col min="29" max="29" width="7.28515625" style="9" bestFit="1" customWidth="1"/>
    <col min="30" max="30" width="15.28515625" style="9" bestFit="1" customWidth="1"/>
    <col min="31" max="31" width="18" style="9" bestFit="1" customWidth="1"/>
    <col min="32" max="32" width="19.140625" style="9" bestFit="1" customWidth="1"/>
    <col min="33" max="33" width="4" style="9" bestFit="1" customWidth="1"/>
    <col min="34" max="34" width="9.140625" style="9"/>
    <col min="35" max="35" width="13.42578125" style="9" bestFit="1" customWidth="1"/>
    <col min="36" max="36" width="7.85546875" style="9" bestFit="1" customWidth="1"/>
    <col min="37" max="38" width="4.140625" style="9" bestFit="1" customWidth="1"/>
    <col min="39" max="39" width="4.42578125" style="9" bestFit="1" customWidth="1"/>
    <col min="40" max="40" width="10" style="9" bestFit="1" customWidth="1"/>
    <col min="41" max="42" width="8.7109375" style="9" bestFit="1" customWidth="1"/>
    <col min="43" max="43" width="7.42578125" style="9" bestFit="1" customWidth="1"/>
    <col min="44" max="44" width="7.28515625" style="9" bestFit="1" customWidth="1"/>
    <col min="45" max="46" width="9.85546875" style="9" bestFit="1" customWidth="1"/>
    <col min="47" max="47" width="10" style="9" bestFit="1" customWidth="1"/>
    <col min="48" max="48" width="7.7109375" style="9" bestFit="1" customWidth="1"/>
    <col min="49" max="49" width="9.85546875" style="9" bestFit="1" customWidth="1"/>
    <col min="50" max="50" width="11.7109375" style="9" bestFit="1" customWidth="1"/>
    <col min="51" max="51" width="9.28515625" style="9" bestFit="1" customWidth="1"/>
    <col min="52" max="52" width="7.28515625" style="9" bestFit="1" customWidth="1"/>
    <col min="53" max="53" width="15.28515625" style="9" bestFit="1" customWidth="1"/>
    <col min="54" max="54" width="18" style="9" bestFit="1" customWidth="1"/>
    <col min="55" max="55" width="19.140625" style="9" bestFit="1" customWidth="1"/>
    <col min="56" max="56" width="4" style="9" bestFit="1" customWidth="1"/>
    <col min="57" max="16384" width="9.140625" style="9"/>
  </cols>
  <sheetData>
    <row r="1" spans="1:56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693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I1" s="104" t="s">
        <v>694</v>
      </c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</row>
    <row r="2" spans="1:56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I2" s="104" t="s">
        <v>399</v>
      </c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</row>
    <row r="3" spans="1:56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 t="s">
        <v>409</v>
      </c>
      <c r="U3" s="104"/>
      <c r="V3" s="104"/>
      <c r="W3" s="104"/>
      <c r="X3" s="104"/>
      <c r="Y3" s="104"/>
      <c r="Z3" s="104"/>
      <c r="AA3" s="10" t="s">
        <v>417</v>
      </c>
      <c r="AB3" s="104" t="s">
        <v>419</v>
      </c>
      <c r="AC3" s="104"/>
      <c r="AD3" s="104" t="s">
        <v>422</v>
      </c>
      <c r="AE3" s="104"/>
      <c r="AF3" s="104"/>
      <c r="AG3" s="104"/>
      <c r="AI3" s="104" t="s">
        <v>400</v>
      </c>
      <c r="AJ3" s="104"/>
      <c r="AK3" s="104"/>
      <c r="AL3" s="104"/>
      <c r="AM3" s="104"/>
      <c r="AN3" s="104"/>
      <c r="AO3" s="104"/>
      <c r="AP3" s="104"/>
      <c r="AQ3" s="104" t="s">
        <v>409</v>
      </c>
      <c r="AR3" s="104"/>
      <c r="AS3" s="104"/>
      <c r="AT3" s="104"/>
      <c r="AU3" s="104"/>
      <c r="AV3" s="104"/>
      <c r="AW3" s="104"/>
      <c r="AX3" s="10" t="s">
        <v>417</v>
      </c>
      <c r="AY3" s="104" t="s">
        <v>419</v>
      </c>
      <c r="AZ3" s="104"/>
      <c r="BA3" s="104" t="s">
        <v>422</v>
      </c>
      <c r="BB3" s="104"/>
      <c r="BC3" s="104"/>
      <c r="BD3" s="104"/>
    </row>
    <row r="4" spans="1:56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410</v>
      </c>
      <c r="U4" s="10" t="s">
        <v>411</v>
      </c>
      <c r="V4" s="10" t="s">
        <v>412</v>
      </c>
      <c r="W4" s="10" t="s">
        <v>413</v>
      </c>
      <c r="X4" s="10" t="s">
        <v>414</v>
      </c>
      <c r="Y4" s="10" t="s">
        <v>415</v>
      </c>
      <c r="Z4" s="10" t="s">
        <v>416</v>
      </c>
      <c r="AA4" s="10" t="s">
        <v>418</v>
      </c>
      <c r="AB4" s="10" t="s">
        <v>420</v>
      </c>
      <c r="AC4" s="10" t="s">
        <v>421</v>
      </c>
      <c r="AD4" s="10" t="s">
        <v>423</v>
      </c>
      <c r="AE4" s="10" t="s">
        <v>424</v>
      </c>
      <c r="AF4" s="10" t="s">
        <v>425</v>
      </c>
      <c r="AG4" s="10" t="s">
        <v>426</v>
      </c>
      <c r="AI4" s="10" t="s">
        <v>485</v>
      </c>
      <c r="AJ4" s="10" t="s">
        <v>401</v>
      </c>
      <c r="AK4" s="10" t="s">
        <v>402</v>
      </c>
      <c r="AL4" s="10" t="s">
        <v>403</v>
      </c>
      <c r="AM4" s="10" t="s">
        <v>404</v>
      </c>
      <c r="AN4" s="10" t="s">
        <v>405</v>
      </c>
      <c r="AO4" s="10" t="s">
        <v>406</v>
      </c>
      <c r="AP4" s="10" t="s">
        <v>407</v>
      </c>
      <c r="AQ4" s="10" t="s">
        <v>410</v>
      </c>
      <c r="AR4" s="10" t="s">
        <v>411</v>
      </c>
      <c r="AS4" s="10" t="s">
        <v>412</v>
      </c>
      <c r="AT4" s="10" t="s">
        <v>413</v>
      </c>
      <c r="AU4" s="10" t="s">
        <v>414</v>
      </c>
      <c r="AV4" s="10" t="s">
        <v>415</v>
      </c>
      <c r="AW4" s="10" t="s">
        <v>416</v>
      </c>
      <c r="AX4" s="10" t="s">
        <v>418</v>
      </c>
      <c r="AY4" s="10" t="s">
        <v>420</v>
      </c>
      <c r="AZ4" s="10" t="s">
        <v>421</v>
      </c>
      <c r="BA4" s="10" t="s">
        <v>423</v>
      </c>
      <c r="BB4" s="10" t="s">
        <v>424</v>
      </c>
      <c r="BC4" s="10" t="s">
        <v>425</v>
      </c>
      <c r="BD4" s="10" t="s">
        <v>426</v>
      </c>
    </row>
    <row r="5" spans="1:56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>
        <f>('TUSD BE'!$L$5+'TUSD BF'!$L$5+'TUSD CVA'!$L$5)*1</f>
        <v>0</v>
      </c>
      <c r="M5" s="13">
        <f>('TUSD BE'!$M$5+'TUSD BF'!$M$5+'TUSD CVA'!$M$5)*1</f>
        <v>0</v>
      </c>
      <c r="N5" s="13">
        <f ca="1">('TUSD BE'!$N$5+'TUSD BF'!$N$5+'TUSD CVA'!$N$5)*1</f>
        <v>0</v>
      </c>
      <c r="O5" s="13">
        <f>('TUSD BE'!$O$5+'TUSD BF'!$O$5+'TUSD CVA'!$O$5)*1</f>
        <v>0</v>
      </c>
      <c r="P5" s="13">
        <f>('TUSD BE'!$P$5+'TUSD BF'!$P$5+'TUSD CVA'!$P$5)*1</f>
        <v>0</v>
      </c>
      <c r="Q5" s="13">
        <f>('TUSD BE'!$Q$5+'TUSD BF'!$Q$5+'TUSD CVA'!$Q$5)*1</f>
        <v>0</v>
      </c>
      <c r="R5" s="13">
        <f>('TUSD BE'!$R$5+'TUSD BF'!$R$5+'TUSD CVA'!$R$5)*1</f>
        <v>0</v>
      </c>
      <c r="S5" s="13">
        <f>('TUSD BE'!$S$5+'TUSD BF'!$S$5+'TUSD CVA'!$S$5)*1</f>
        <v>0</v>
      </c>
      <c r="T5" s="13">
        <f>('TUSD BE'!$U$5+'TUSD BF'!$U$5+'TUSD CVA'!$U$5)*1</f>
        <v>0</v>
      </c>
      <c r="U5" s="13">
        <f>('TUSD BE'!$V$5+'TUSD BF'!$V$5+'TUSD CVA'!$V$5)*1</f>
        <v>0</v>
      </c>
      <c r="V5" s="13">
        <f>('TUSD BE'!$W$5+'TUSD BF'!$W$5+'TUSD CVA'!$W$5)*1</f>
        <v>0</v>
      </c>
      <c r="W5" s="13">
        <f>('TUSD BE'!$X$5+'TUSD BF'!$X$5+'TUSD CVA'!$X$5)*1</f>
        <v>0</v>
      </c>
      <c r="X5" s="13">
        <f>('TUSD BE'!$Y$5+'TUSD BF'!$Y$5+'TUSD CVA'!$Y$5)*1</f>
        <v>33.42272991232484</v>
      </c>
      <c r="Y5" s="13">
        <f>('TUSD BE'!$Z$5+'TUSD BF'!$Z$5+'TUSD CVA'!$Z$5)*1</f>
        <v>0</v>
      </c>
      <c r="Z5" s="13">
        <f>('TUSD BE'!$AA$5+'TUSD BF'!$AA$5+'TUSD CVA'!$AA$5)*1</f>
        <v>0</v>
      </c>
      <c r="AA5" s="13">
        <f>('TUSD BE'!$AC$5+'TUSD BF'!$AC$5+'TUSD CVA'!$AC$5)*1</f>
        <v>46.827516447387829</v>
      </c>
      <c r="AB5" s="13">
        <f ca="1">('TUSD BE'!$AE$5+'TUSD BF'!$AE$5+'TUSD CVA'!$AE$5)*1</f>
        <v>-1.4443808675724827</v>
      </c>
      <c r="AC5" s="13">
        <f ca="1">('TUSD BE'!$AF$5+'TUSD BF'!$AF$5+'TUSD CVA'!$AF$5)*1</f>
        <v>0</v>
      </c>
      <c r="AD5" s="13">
        <f>('TUSD BE'!$AH$5+'TUSD BF'!$AH$5+'TUSD CVA'!$AH$5)*1</f>
        <v>0</v>
      </c>
      <c r="AE5" s="13">
        <f>('TUSD BE'!$AI$5+'TUSD BF'!$AI$5+'TUSD CVA'!$AI$5)*1</f>
        <v>0</v>
      </c>
      <c r="AF5" s="13">
        <f ca="1">('TUSD BE'!$AJ$5+'TUSD BF'!$AJ$5+'TUSD CVA'!$AJ$5)*1</f>
        <v>0</v>
      </c>
      <c r="AG5" s="13">
        <f ca="1">('TUSD BE'!$AK$5+'TUSD BF'!$AK$5+'TUSD CVA'!$AK$5)*1</f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24.818976144657402</v>
      </c>
      <c r="AV5" s="13">
        <v>0</v>
      </c>
      <c r="AW5" s="13">
        <v>0</v>
      </c>
      <c r="AX5" s="13">
        <v>40.334957955745999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>
        <f>('TUSD BE'!$L$6+'TUSD BF'!$L$6+'TUSD CVA'!$L$6)*1</f>
        <v>0</v>
      </c>
      <c r="M6" s="13">
        <f>('TUSD BE'!$M$6+'TUSD BF'!$M$6+'TUSD CVA'!$M$6)*1</f>
        <v>0</v>
      </c>
      <c r="N6" s="13">
        <f ca="1">('TUSD BE'!$N$6+'TUSD BF'!$N$6+'TUSD CVA'!$N$6)*1</f>
        <v>0</v>
      </c>
      <c r="O6" s="13">
        <f>('TUSD BE'!$O$6+'TUSD BF'!$O$6+'TUSD CVA'!$O$6)*1</f>
        <v>0</v>
      </c>
      <c r="P6" s="13">
        <f>('TUSD BE'!$P$6+'TUSD BF'!$P$6+'TUSD CVA'!$P$6)*1</f>
        <v>0</v>
      </c>
      <c r="Q6" s="13">
        <f>('TUSD BE'!$Q$6+'TUSD BF'!$Q$6+'TUSD CVA'!$Q$6)*1</f>
        <v>0</v>
      </c>
      <c r="R6" s="13">
        <f>('TUSD BE'!$R$6+'TUSD BF'!$R$6+'TUSD CVA'!$R$6)*1</f>
        <v>0</v>
      </c>
      <c r="S6" s="13">
        <f>('TUSD BE'!$S$6+'TUSD BF'!$S$6+'TUSD CVA'!$S$6)*1</f>
        <v>0</v>
      </c>
      <c r="T6" s="13">
        <f>('TUSD BE'!$U$6+'TUSD BF'!$U$6+'TUSD CVA'!$U$6)*1</f>
        <v>0</v>
      </c>
      <c r="U6" s="13">
        <f>('TUSD BE'!$V$6+'TUSD BF'!$V$6+'TUSD CVA'!$V$6)*1</f>
        <v>0</v>
      </c>
      <c r="V6" s="13">
        <f>('TUSD BE'!$W$6+'TUSD BF'!$W$6+'TUSD CVA'!$W$6)*1</f>
        <v>0</v>
      </c>
      <c r="W6" s="13">
        <f>('TUSD BE'!$X$6+'TUSD BF'!$X$6+'TUSD CVA'!$X$6)*1</f>
        <v>0</v>
      </c>
      <c r="X6" s="13">
        <f>('TUSD BE'!$Y$6+'TUSD BF'!$Y$6+'TUSD CVA'!$Y$6)*1</f>
        <v>16.80547089746123</v>
      </c>
      <c r="Y6" s="13">
        <f>('TUSD BE'!$Z$6+'TUSD BF'!$Z$6+'TUSD CVA'!$Z$6)*1</f>
        <v>0</v>
      </c>
      <c r="Z6" s="13">
        <f>('TUSD BE'!$AA$6+'TUSD BF'!$AA$6+'TUSD CVA'!$AA$6)*1</f>
        <v>0</v>
      </c>
      <c r="AA6" s="13">
        <f>('TUSD BE'!$AC$6+'TUSD BF'!$AC$6+'TUSD CVA'!$AC$6)*1</f>
        <v>21.576686721245821</v>
      </c>
      <c r="AB6" s="13">
        <f ca="1">('TUSD BE'!$AE$6+'TUSD BF'!$AE$6+'TUSD CVA'!$AE$6)*1</f>
        <v>-0.68626969305865104</v>
      </c>
      <c r="AC6" s="13">
        <f ca="1">('TUSD BE'!$AF$6+'TUSD BF'!$AF$6+'TUSD CVA'!$AF$6)*1</f>
        <v>0</v>
      </c>
      <c r="AD6" s="13">
        <f>('TUSD BE'!$AH$6+'TUSD BF'!$AH$6+'TUSD CVA'!$AH$6)*1</f>
        <v>0</v>
      </c>
      <c r="AE6" s="13">
        <f>('TUSD BE'!$AI$6+'TUSD BF'!$AI$6+'TUSD CVA'!$AI$6)*1</f>
        <v>0</v>
      </c>
      <c r="AF6" s="13">
        <f ca="1">('TUSD BE'!$AJ$6+'TUSD BF'!$AJ$6+'TUSD CVA'!$AJ$6)*1</f>
        <v>0</v>
      </c>
      <c r="AG6" s="13">
        <f ca="1">('TUSD BE'!$AK$6+'TUSD BF'!$AK$6+'TUSD CVA'!$AK$6)*1</f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12.479359396859101</v>
      </c>
      <c r="AV6" s="13">
        <v>0</v>
      </c>
      <c r="AW6" s="13">
        <v>0</v>
      </c>
      <c r="AX6" s="13">
        <v>18.58512967067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>
        <f>('TUSD BE'!$L$7+'TUSD BF'!$L$7+'TUSD CVA'!$L$7)*1</f>
        <v>0</v>
      </c>
      <c r="M7" s="13">
        <f>('TUSD BE'!$M$7+'TUSD BF'!$M$7+'TUSD CVA'!$M$7)*1</f>
        <v>1.0941628516213198</v>
      </c>
      <c r="N7" s="13">
        <f ca="1">('TUSD BE'!$N$7+'TUSD BF'!$N$7+'TUSD CVA'!$N$7)*1</f>
        <v>0</v>
      </c>
      <c r="O7" s="13">
        <f>('TUSD BE'!$O$7+'TUSD BF'!$O$7+'TUSD CVA'!$O$7)*1</f>
        <v>0</v>
      </c>
      <c r="P7" s="13">
        <f>('TUSD BE'!$P$7+'TUSD BF'!$P$7+'TUSD CVA'!$P$7)*1</f>
        <v>0</v>
      </c>
      <c r="Q7" s="13">
        <f>('TUSD BE'!$Q$7+'TUSD BF'!$Q$7+'TUSD CVA'!$Q$7)*1</f>
        <v>78.498103350448773</v>
      </c>
      <c r="R7" s="13">
        <f>('TUSD BE'!$R$7+'TUSD BF'!$R$7+'TUSD CVA'!$R$7)*1</f>
        <v>14.71905371832413</v>
      </c>
      <c r="S7" s="13">
        <f>('TUSD BE'!$S$7+'TUSD BF'!$S$7+'TUSD CVA'!$S$7)*1</f>
        <v>0</v>
      </c>
      <c r="T7" s="13">
        <f>('TUSD BE'!$U$7+'TUSD BF'!$U$7+'TUSD CVA'!$U$7)*1</f>
        <v>0</v>
      </c>
      <c r="U7" s="13">
        <f>('TUSD BE'!$V$7+'TUSD BF'!$V$7+'TUSD CVA'!$V$7)*1</f>
        <v>0</v>
      </c>
      <c r="V7" s="13">
        <f>('TUSD BE'!$W$7+'TUSD BF'!$W$7+'TUSD CVA'!$W$7)*1</f>
        <v>0</v>
      </c>
      <c r="W7" s="13">
        <f>('TUSD BE'!$X$7+'TUSD BF'!$X$7+'TUSD CVA'!$X$7)*1</f>
        <v>0</v>
      </c>
      <c r="X7" s="13">
        <f>('TUSD BE'!$Y$7+'TUSD BF'!$Y$7+'TUSD CVA'!$Y$7)*1</f>
        <v>0</v>
      </c>
      <c r="Y7" s="13">
        <f>('TUSD BE'!$Z$7+'TUSD BF'!$Z$7+'TUSD CVA'!$Z$7)*1</f>
        <v>0</v>
      </c>
      <c r="Z7" s="13">
        <f>('TUSD BE'!$AA$7+'TUSD BF'!$AA$7+'TUSD CVA'!$AA$7)*1</f>
        <v>0</v>
      </c>
      <c r="AA7" s="13">
        <f>('TUSD BE'!$AC$7+'TUSD BF'!$AC$7+'TUSD CVA'!$AC$7)*1</f>
        <v>0</v>
      </c>
      <c r="AB7" s="13">
        <f ca="1">('TUSD BE'!$AE$7+'TUSD BF'!$AE$7+'TUSD CVA'!$AE$7)*1</f>
        <v>-1.3689176153697389</v>
      </c>
      <c r="AC7" s="13">
        <f ca="1">('TUSD BE'!$AF$7+'TUSD BF'!$AF$7+'TUSD CVA'!$AF$7)*1</f>
        <v>0</v>
      </c>
      <c r="AD7" s="13">
        <f>('TUSD BE'!$AH$7+'TUSD BF'!$AH$7+'TUSD CVA'!$AH$7)*1</f>
        <v>4.1964292158504586</v>
      </c>
      <c r="AE7" s="13">
        <f>('TUSD BE'!$AI$7+'TUSD BF'!$AI$7+'TUSD CVA'!$AI$7)*1</f>
        <v>0</v>
      </c>
      <c r="AF7" s="13">
        <f ca="1">('TUSD BE'!$AJ$7+'TUSD BF'!$AJ$7+'TUSD CVA'!$AJ$7)*1</f>
        <v>0</v>
      </c>
      <c r="AG7" s="13">
        <f ca="1">('TUSD BE'!$AK$7+'TUSD BF'!$AK$7+'TUSD CVA'!$AK$7)*1</f>
        <v>0</v>
      </c>
      <c r="AI7" s="13">
        <v>0</v>
      </c>
      <c r="AJ7" s="13">
        <v>0.98124953320680297</v>
      </c>
      <c r="AK7" s="13">
        <v>0</v>
      </c>
      <c r="AL7" s="13">
        <v>0</v>
      </c>
      <c r="AM7" s="13">
        <v>0</v>
      </c>
      <c r="AN7" s="13">
        <v>51.9252420299606</v>
      </c>
      <c r="AO7" s="13">
        <v>9.2650619448653906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5.3549419113622401</v>
      </c>
      <c r="BB7" s="13">
        <v>0</v>
      </c>
      <c r="BC7" s="13">
        <v>0</v>
      </c>
      <c r="BD7" s="13">
        <v>0</v>
      </c>
    </row>
    <row r="8" spans="1:56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>
        <f>('TUSD BE'!$L$8+'TUSD BF'!$L$8+'TUSD CVA'!$L$8)*1</f>
        <v>0</v>
      </c>
      <c r="M8" s="13">
        <f>('TUSD BE'!$M$8+'TUSD BF'!$M$8+'TUSD CVA'!$M$8)*1</f>
        <v>1.0941628516213198</v>
      </c>
      <c r="N8" s="13">
        <f ca="1">('TUSD BE'!$N$8+'TUSD BF'!$N$8+'TUSD CVA'!$N$8)*1</f>
        <v>0</v>
      </c>
      <c r="O8" s="13">
        <f>('TUSD BE'!$O$8+'TUSD BF'!$O$8+'TUSD CVA'!$O$8)*1</f>
        <v>0</v>
      </c>
      <c r="P8" s="13">
        <f>('TUSD BE'!$P$8+'TUSD BF'!$P$8+'TUSD CVA'!$P$8)*1</f>
        <v>0</v>
      </c>
      <c r="Q8" s="13">
        <f>('TUSD BE'!$Q$8+'TUSD BF'!$Q$8+'TUSD CVA'!$Q$8)*1</f>
        <v>0</v>
      </c>
      <c r="R8" s="13">
        <f>('TUSD BE'!$R$8+'TUSD BF'!$R$8+'TUSD CVA'!$R$8)*1</f>
        <v>0</v>
      </c>
      <c r="S8" s="13">
        <f>('TUSD BE'!$S$8+'TUSD BF'!$S$8+'TUSD CVA'!$S$8)*1</f>
        <v>0</v>
      </c>
      <c r="T8" s="13">
        <f>('TUSD BE'!$U$8+'TUSD BF'!$U$8+'TUSD CVA'!$U$8)*1</f>
        <v>0</v>
      </c>
      <c r="U8" s="13">
        <f>('TUSD BE'!$V$8+'TUSD BF'!$V$8+'TUSD CVA'!$V$8)*1</f>
        <v>0</v>
      </c>
      <c r="V8" s="13">
        <f>('TUSD BE'!$W$8+'TUSD BF'!$W$8+'TUSD CVA'!$W$8)*1</f>
        <v>0</v>
      </c>
      <c r="W8" s="13">
        <f>('TUSD BE'!$X$8+'TUSD BF'!$X$8+'TUSD CVA'!$X$8)*1</f>
        <v>0</v>
      </c>
      <c r="X8" s="13">
        <f>('TUSD BE'!$Y$8+'TUSD BF'!$Y$8+'TUSD CVA'!$Y$8)*1</f>
        <v>0</v>
      </c>
      <c r="Y8" s="13">
        <f>('TUSD BE'!$Z$8+'TUSD BF'!$Z$8+'TUSD CVA'!$Z$8)*1</f>
        <v>0</v>
      </c>
      <c r="Z8" s="13">
        <f>('TUSD BE'!$AA$8+'TUSD BF'!$AA$8+'TUSD CVA'!$AA$8)*1</f>
        <v>0</v>
      </c>
      <c r="AA8" s="13">
        <f>('TUSD BE'!$AC$8+'TUSD BF'!$AC$8+'TUSD CVA'!$AC$8)*1</f>
        <v>0</v>
      </c>
      <c r="AB8" s="13">
        <f ca="1">('TUSD BE'!$AE$8+'TUSD BF'!$AE$8+'TUSD CVA'!$AE$8)*1</f>
        <v>-7.5481848290659556E-2</v>
      </c>
      <c r="AC8" s="13">
        <f ca="1">('TUSD BE'!$AF$8+'TUSD BF'!$AF$8+'TUSD CVA'!$AF$8)*1</f>
        <v>0</v>
      </c>
      <c r="AD8" s="13">
        <f>('TUSD BE'!$AH$8+'TUSD BF'!$AH$8+'TUSD CVA'!$AH$8)*1</f>
        <v>4.1964292158504586</v>
      </c>
      <c r="AE8" s="13">
        <f>('TUSD BE'!$AI$8+'TUSD BF'!$AI$8+'TUSD CVA'!$AI$8)*1</f>
        <v>0</v>
      </c>
      <c r="AF8" s="13">
        <f ca="1">('TUSD BE'!$AJ$8+'TUSD BF'!$AJ$8+'TUSD CVA'!$AJ$8)*1</f>
        <v>0</v>
      </c>
      <c r="AG8" s="13">
        <f ca="1">('TUSD BE'!$AK$8+'TUSD BF'!$AK$8+'TUSD CVA'!$AK$8)*1</f>
        <v>0</v>
      </c>
      <c r="AI8" s="13">
        <v>0</v>
      </c>
      <c r="AJ8" s="13">
        <v>0.98124953320680297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5.3549419113622401</v>
      </c>
      <c r="BB8" s="13">
        <v>0</v>
      </c>
      <c r="BC8" s="13">
        <v>0</v>
      </c>
      <c r="BD8" s="13">
        <v>0</v>
      </c>
    </row>
    <row r="9" spans="1:56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>
        <f>('TUSD BE'!$L$9+'TUSD BF'!$L$9+'TUSD CVA'!$L$9)*1</f>
        <v>0</v>
      </c>
      <c r="M9" s="13">
        <f>('TUSD BE'!$M$9+'TUSD BF'!$M$9+'TUSD CVA'!$M$9)*1</f>
        <v>1.4229132989899466E-2</v>
      </c>
      <c r="N9" s="13">
        <f ca="1">('TUSD BE'!$N$9+'TUSD BF'!$N$9+'TUSD CVA'!$N$9)*1</f>
        <v>0</v>
      </c>
      <c r="O9" s="13">
        <f>('TUSD BE'!$O$9+'TUSD BF'!$O$9+'TUSD CVA'!$O$9)*1</f>
        <v>0</v>
      </c>
      <c r="P9" s="13">
        <f>('TUSD BE'!$P$9+'TUSD BF'!$P$9+'TUSD CVA'!$P$9)*1</f>
        <v>0</v>
      </c>
      <c r="Q9" s="13">
        <f>('TUSD BE'!$Q$9+'TUSD BF'!$Q$9+'TUSD CVA'!$Q$9)*1</f>
        <v>0</v>
      </c>
      <c r="R9" s="13">
        <f>('TUSD BE'!$R$9+'TUSD BF'!$R$9+'TUSD CVA'!$R$9)*1</f>
        <v>0</v>
      </c>
      <c r="S9" s="13">
        <f>('TUSD BE'!$S$9+'TUSD BF'!$S$9+'TUSD CVA'!$S$9)*1</f>
        <v>0</v>
      </c>
      <c r="T9" s="13">
        <f>('TUSD BE'!$U$9+'TUSD BF'!$U$9+'TUSD CVA'!$U$9)*1</f>
        <v>0</v>
      </c>
      <c r="U9" s="13">
        <f>('TUSD BE'!$V$9+'TUSD BF'!$V$9+'TUSD CVA'!$V$9)*1</f>
        <v>0</v>
      </c>
      <c r="V9" s="13">
        <f>('TUSD BE'!$W$9+'TUSD BF'!$W$9+'TUSD CVA'!$W$9)*1</f>
        <v>0</v>
      </c>
      <c r="W9" s="13">
        <f>('TUSD BE'!$X$9+'TUSD BF'!$X$9+'TUSD CVA'!$X$9)*1</f>
        <v>0</v>
      </c>
      <c r="X9" s="13">
        <f>('TUSD BE'!$Y$9+'TUSD BF'!$Y$9+'TUSD CVA'!$Y$9)*1</f>
        <v>0</v>
      </c>
      <c r="Y9" s="13">
        <f>('TUSD BE'!$Z$9+'TUSD BF'!$Z$9+'TUSD CVA'!$Z$9)*1</f>
        <v>0</v>
      </c>
      <c r="Z9" s="13">
        <f>('TUSD BE'!$AA$9+'TUSD BF'!$AA$9+'TUSD CVA'!$AA$9)*1</f>
        <v>0</v>
      </c>
      <c r="AA9" s="13">
        <f>('TUSD BE'!$AC$9+'TUSD BF'!$AC$9+'TUSD CVA'!$AC$9)*1</f>
        <v>11.177968198630165</v>
      </c>
      <c r="AB9" s="13">
        <f ca="1">('TUSD BE'!$AE$9+'TUSD BF'!$AE$9+'TUSD CVA'!$AE$9)*1</f>
        <v>-0.22721500164454733</v>
      </c>
      <c r="AC9" s="13">
        <f ca="1">('TUSD BE'!$AF$9+'TUSD BF'!$AF$9+'TUSD CVA'!$AF$9)*1</f>
        <v>0</v>
      </c>
      <c r="AD9" s="13">
        <f>('TUSD BE'!$AH$9+'TUSD BF'!$AH$9+'TUSD CVA'!$AH$9)*1</f>
        <v>0</v>
      </c>
      <c r="AE9" s="13">
        <f>('TUSD BE'!$AI$9+'TUSD BF'!$AI$9+'TUSD CVA'!$AI$9)*1</f>
        <v>0</v>
      </c>
      <c r="AF9" s="13">
        <f ca="1">('TUSD BE'!$AJ$9+'TUSD BF'!$AJ$9+'TUSD CVA'!$AJ$9)*1</f>
        <v>0</v>
      </c>
      <c r="AG9" s="13">
        <f ca="1">('TUSD BE'!$AK$9+'TUSD BF'!$AK$9+'TUSD CVA'!$AK$9)*1</f>
        <v>0</v>
      </c>
      <c r="AI9" s="13">
        <v>0</v>
      </c>
      <c r="AJ9" s="13">
        <v>1.3269086535405599E-2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9.6281872331385294</v>
      </c>
      <c r="AY9" s="13">
        <v>0</v>
      </c>
      <c r="AZ9" s="13">
        <v>0</v>
      </c>
      <c r="BA9" s="13">
        <v>4.8805522341981801E-4</v>
      </c>
      <c r="BB9" s="13">
        <v>0</v>
      </c>
      <c r="BC9" s="13">
        <v>0</v>
      </c>
      <c r="BD9" s="13">
        <v>0</v>
      </c>
    </row>
    <row r="10" spans="1:56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>
        <f>('TUSD BE'!$L$10+'TUSD BF'!$L$10+'TUSD CVA'!$L$10)*1</f>
        <v>0</v>
      </c>
      <c r="M10" s="13">
        <f>('TUSD BE'!$M$10+'TUSD BF'!$M$10+'TUSD CVA'!$M$10)*1</f>
        <v>0</v>
      </c>
      <c r="N10" s="13">
        <f ca="1">('TUSD BE'!$N$10+'TUSD BF'!$N$10+'TUSD CVA'!$N$10)*1</f>
        <v>0</v>
      </c>
      <c r="O10" s="13">
        <f>('TUSD BE'!$O$10+'TUSD BF'!$O$10+'TUSD CVA'!$O$10)*1</f>
        <v>0</v>
      </c>
      <c r="P10" s="13">
        <f>('TUSD BE'!$P$10+'TUSD BF'!$P$10+'TUSD CVA'!$P$10)*1</f>
        <v>0</v>
      </c>
      <c r="Q10" s="13">
        <f>('TUSD BE'!$Q$10+'TUSD BF'!$Q$10+'TUSD CVA'!$Q$10)*1</f>
        <v>0</v>
      </c>
      <c r="R10" s="13">
        <f>('TUSD BE'!$R$10+'TUSD BF'!$R$10+'TUSD CVA'!$R$10)*1</f>
        <v>0</v>
      </c>
      <c r="S10" s="13">
        <f>('TUSD BE'!$S$10+'TUSD BF'!$S$10+'TUSD CVA'!$S$10)*1</f>
        <v>0</v>
      </c>
      <c r="T10" s="13">
        <f>('TUSD BE'!$U$10+'TUSD BF'!$U$10+'TUSD CVA'!$U$10)*1</f>
        <v>0</v>
      </c>
      <c r="U10" s="13">
        <f>('TUSD BE'!$V$10+'TUSD BF'!$V$10+'TUSD CVA'!$V$10)*1</f>
        <v>0</v>
      </c>
      <c r="V10" s="13">
        <f>('TUSD BE'!$W$10+'TUSD BF'!$W$10+'TUSD CVA'!$W$10)*1</f>
        <v>0</v>
      </c>
      <c r="W10" s="13">
        <f>('TUSD BE'!$X$10+'TUSD BF'!$X$10+'TUSD CVA'!$X$10)*1</f>
        <v>0</v>
      </c>
      <c r="X10" s="13">
        <f>('TUSD BE'!$Y$10+'TUSD BF'!$Y$10+'TUSD CVA'!$Y$10)*1</f>
        <v>16.80547089746123</v>
      </c>
      <c r="Y10" s="13">
        <f>('TUSD BE'!$Z$10+'TUSD BF'!$Z$10+'TUSD CVA'!$Z$10)*1</f>
        <v>0</v>
      </c>
      <c r="Z10" s="13">
        <f>('TUSD BE'!$AA$10+'TUSD BF'!$AA$10+'TUSD CVA'!$AA$10)*1</f>
        <v>0</v>
      </c>
      <c r="AA10" s="13">
        <f>('TUSD BE'!$AC$10+'TUSD BF'!$AC$10+'TUSD CVA'!$AC$10)*1</f>
        <v>21.576686721245821</v>
      </c>
      <c r="AB10" s="13">
        <f ca="1">('TUSD BE'!$AE$10+'TUSD BF'!$AE$10+'TUSD CVA'!$AE$10)*1</f>
        <v>-0.68626969305865104</v>
      </c>
      <c r="AC10" s="13">
        <f ca="1">('TUSD BE'!$AF$10+'TUSD BF'!$AF$10+'TUSD CVA'!$AF$10)*1</f>
        <v>0</v>
      </c>
      <c r="AD10" s="13">
        <f>('TUSD BE'!$AH$10+'TUSD BF'!$AH$10+'TUSD CVA'!$AH$10)*1</f>
        <v>0</v>
      </c>
      <c r="AE10" s="13">
        <f>('TUSD BE'!$AI$10+'TUSD BF'!$AI$10+'TUSD CVA'!$AI$10)*1</f>
        <v>0</v>
      </c>
      <c r="AF10" s="13">
        <f ca="1">('TUSD BE'!$AJ$10+'TUSD BF'!$AJ$10+'TUSD CVA'!$AJ$10)*1</f>
        <v>0</v>
      </c>
      <c r="AG10" s="13">
        <f ca="1">('TUSD BE'!$AK$10+'TUSD BF'!$AK$10+'TUSD CVA'!$AK$10)*1</f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12.479359396859101</v>
      </c>
      <c r="AV10" s="13">
        <v>0</v>
      </c>
      <c r="AW10" s="13">
        <v>0</v>
      </c>
      <c r="AX10" s="13">
        <v>18.58512967067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</row>
    <row r="11" spans="1:56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>
        <f>('TUSD BE'!$L$11+'TUSD BF'!$L$11+'TUSD CVA'!$L$11)*1</f>
        <v>0</v>
      </c>
      <c r="M11" s="13">
        <f>('TUSD BE'!$M$11+'TUSD BF'!$M$11+'TUSD CVA'!$M$11)*1</f>
        <v>1.0941628516213198</v>
      </c>
      <c r="N11" s="13">
        <f ca="1">('TUSD BE'!$N$11+'TUSD BF'!$N$11+'TUSD CVA'!$N$11)*1</f>
        <v>0</v>
      </c>
      <c r="O11" s="13">
        <f>('TUSD BE'!$O$11+'TUSD BF'!$O$11+'TUSD CVA'!$O$11)*1</f>
        <v>0</v>
      </c>
      <c r="P11" s="13">
        <f>('TUSD BE'!$P$11+'TUSD BF'!$P$11+'TUSD CVA'!$P$11)*1</f>
        <v>0</v>
      </c>
      <c r="Q11" s="13">
        <f>('TUSD BE'!$Q$11+'TUSD BF'!$Q$11+'TUSD CVA'!$Q$11)*1</f>
        <v>78.498103350448773</v>
      </c>
      <c r="R11" s="13">
        <f>('TUSD BE'!$R$11+'TUSD BF'!$R$11+'TUSD CVA'!$R$11)*1</f>
        <v>14.71905371832413</v>
      </c>
      <c r="S11" s="13">
        <f>('TUSD BE'!$S$11+'TUSD BF'!$S$11+'TUSD CVA'!$S$11)*1</f>
        <v>0</v>
      </c>
      <c r="T11" s="13">
        <f>('TUSD BE'!$U$11+'TUSD BF'!$U$11+'TUSD CVA'!$U$11)*1</f>
        <v>0</v>
      </c>
      <c r="U11" s="13">
        <f>('TUSD BE'!$V$11+'TUSD BF'!$V$11+'TUSD CVA'!$V$11)*1</f>
        <v>0</v>
      </c>
      <c r="V11" s="13">
        <f>('TUSD BE'!$W$11+'TUSD BF'!$W$11+'TUSD CVA'!$W$11)*1</f>
        <v>0</v>
      </c>
      <c r="W11" s="13">
        <f>('TUSD BE'!$X$11+'TUSD BF'!$X$11+'TUSD CVA'!$X$11)*1</f>
        <v>0</v>
      </c>
      <c r="X11" s="13">
        <f>('TUSD BE'!$Y$11+'TUSD BF'!$Y$11+'TUSD CVA'!$Y$11)*1</f>
        <v>803.89939743905336</v>
      </c>
      <c r="Y11" s="13">
        <f>('TUSD BE'!$Z$11+'TUSD BF'!$Z$11+'TUSD CVA'!$Z$11)*1</f>
        <v>0</v>
      </c>
      <c r="Z11" s="13">
        <f>('TUSD BE'!$AA$11+'TUSD BF'!$AA$11+'TUSD CVA'!$AA$11)*1</f>
        <v>0</v>
      </c>
      <c r="AA11" s="13">
        <f>('TUSD BE'!$AC$11+'TUSD BF'!$AC$11+'TUSD CVA'!$AC$11)*1</f>
        <v>1126.1983890952947</v>
      </c>
      <c r="AB11" s="13">
        <f ca="1">('TUSD BE'!$AE$11+'TUSD BF'!$AE$11+'TUSD CVA'!$AE$11)*1</f>
        <v>-36.107430149056867</v>
      </c>
      <c r="AC11" s="13">
        <f ca="1">('TUSD BE'!$AF$11+'TUSD BF'!$AF$11+'TUSD CVA'!$AF$11)*1</f>
        <v>0</v>
      </c>
      <c r="AD11" s="13">
        <f>('TUSD BE'!$AH$11+'TUSD BF'!$AH$11+'TUSD CVA'!$AH$11)*1</f>
        <v>4.1964292158504586</v>
      </c>
      <c r="AE11" s="13">
        <f>('TUSD BE'!$AI$11+'TUSD BF'!$AI$11+'TUSD CVA'!$AI$11)*1</f>
        <v>0</v>
      </c>
      <c r="AF11" s="13">
        <f ca="1">('TUSD BE'!$AJ$11+'TUSD BF'!$AJ$11+'TUSD CVA'!$AJ$11)*1</f>
        <v>0</v>
      </c>
      <c r="AG11" s="13">
        <f ca="1">('TUSD BE'!$AK$11+'TUSD BF'!$AK$11+'TUSD CVA'!$AK$11)*1</f>
        <v>0</v>
      </c>
      <c r="AI11" s="13">
        <v>0</v>
      </c>
      <c r="AJ11" s="13">
        <v>0.98124953320680297</v>
      </c>
      <c r="AK11" s="13">
        <v>0</v>
      </c>
      <c r="AL11" s="13">
        <v>0</v>
      </c>
      <c r="AM11" s="13">
        <v>0</v>
      </c>
      <c r="AN11" s="13">
        <v>51.9252420299606</v>
      </c>
      <c r="AO11" s="13">
        <v>9.2650619448653906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596.95819901124401</v>
      </c>
      <c r="AV11" s="13">
        <v>0</v>
      </c>
      <c r="AW11" s="13">
        <v>0</v>
      </c>
      <c r="AX11" s="13">
        <v>970.05241018632398</v>
      </c>
      <c r="AY11" s="13">
        <v>0</v>
      </c>
      <c r="AZ11" s="13">
        <v>0</v>
      </c>
      <c r="BA11" s="13">
        <v>5.3549419113622401</v>
      </c>
      <c r="BB11" s="13">
        <v>0</v>
      </c>
      <c r="BC11" s="13">
        <v>0</v>
      </c>
      <c r="BD11" s="13">
        <v>0</v>
      </c>
    </row>
    <row r="12" spans="1:56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>
        <f>('TUSD BE'!$L$12+'TUSD BF'!$L$12+'TUSD CVA'!$L$12)*1</f>
        <v>0</v>
      </c>
      <c r="M12" s="13">
        <f>('TUSD BE'!$M$12+'TUSD BF'!$M$12+'TUSD CVA'!$M$12)*1</f>
        <v>1.0941628516213198</v>
      </c>
      <c r="N12" s="13">
        <f ca="1">('TUSD BE'!$N$12+'TUSD BF'!$N$12+'TUSD CVA'!$N$12)*1</f>
        <v>0</v>
      </c>
      <c r="O12" s="13">
        <f>('TUSD BE'!$O$12+'TUSD BF'!$O$12+'TUSD CVA'!$O$12)*1</f>
        <v>0</v>
      </c>
      <c r="P12" s="13">
        <f>('TUSD BE'!$P$12+'TUSD BF'!$P$12+'TUSD CVA'!$P$12)*1</f>
        <v>0</v>
      </c>
      <c r="Q12" s="13">
        <f>('TUSD BE'!$Q$12+'TUSD BF'!$Q$12+'TUSD CVA'!$Q$12)*1</f>
        <v>78.498103350448773</v>
      </c>
      <c r="R12" s="13">
        <f>('TUSD BE'!$R$12+'TUSD BF'!$R$12+'TUSD CVA'!$R$12)*1</f>
        <v>14.71905371832413</v>
      </c>
      <c r="S12" s="13">
        <f>('TUSD BE'!$S$12+'TUSD BF'!$S$12+'TUSD CVA'!$S$12)*1</f>
        <v>0</v>
      </c>
      <c r="T12" s="13">
        <f>('TUSD BE'!$U$12+'TUSD BF'!$U$12+'TUSD CVA'!$U$12)*1</f>
        <v>0</v>
      </c>
      <c r="U12" s="13">
        <f>('TUSD BE'!$V$12+'TUSD BF'!$V$12+'TUSD CVA'!$V$12)*1</f>
        <v>0</v>
      </c>
      <c r="V12" s="13">
        <f>('TUSD BE'!$W$12+'TUSD BF'!$W$12+'TUSD CVA'!$W$12)*1</f>
        <v>0</v>
      </c>
      <c r="W12" s="13">
        <f>('TUSD BE'!$X$12+'TUSD BF'!$X$12+'TUSD CVA'!$X$12)*1</f>
        <v>0</v>
      </c>
      <c r="X12" s="13">
        <f>('TUSD BE'!$Y$12+'TUSD BF'!$Y$12+'TUSD CVA'!$Y$12)*1</f>
        <v>0</v>
      </c>
      <c r="Y12" s="13">
        <f>('TUSD BE'!$Z$12+'TUSD BF'!$Z$12+'TUSD CVA'!$Z$12)*1</f>
        <v>0</v>
      </c>
      <c r="Z12" s="13">
        <f>('TUSD BE'!$AA$12+'TUSD BF'!$AA$12+'TUSD CVA'!$AA$12)*1</f>
        <v>0</v>
      </c>
      <c r="AA12" s="13">
        <f>('TUSD BE'!$AC$12+'TUSD BF'!$AC$12+'TUSD CVA'!$AC$12)*1</f>
        <v>0</v>
      </c>
      <c r="AB12" s="13">
        <f ca="1">('TUSD BE'!$AE$12+'TUSD BF'!$AE$12+'TUSD CVA'!$AE$12)*1</f>
        <v>-1.3689176153697389</v>
      </c>
      <c r="AC12" s="13">
        <f ca="1">('TUSD BE'!$AF$12+'TUSD BF'!$AF$12+'TUSD CVA'!$AF$12)*1</f>
        <v>0</v>
      </c>
      <c r="AD12" s="13">
        <f>('TUSD BE'!$AH$12+'TUSD BF'!$AH$12+'TUSD CVA'!$AH$12)*1</f>
        <v>4.1964292158504586</v>
      </c>
      <c r="AE12" s="13">
        <f>('TUSD BE'!$AI$12+'TUSD BF'!$AI$12+'TUSD CVA'!$AI$12)*1</f>
        <v>0</v>
      </c>
      <c r="AF12" s="13">
        <f ca="1">('TUSD BE'!$AJ$12+'TUSD BF'!$AJ$12+'TUSD CVA'!$AJ$12)*1</f>
        <v>0</v>
      </c>
      <c r="AG12" s="13">
        <f ca="1">('TUSD BE'!$AK$12+'TUSD BF'!$AK$12+'TUSD CVA'!$AK$12)*1</f>
        <v>0</v>
      </c>
      <c r="AI12" s="13">
        <v>0</v>
      </c>
      <c r="AJ12" s="13">
        <v>0.98124953320680297</v>
      </c>
      <c r="AK12" s="13">
        <v>0</v>
      </c>
      <c r="AL12" s="13">
        <v>0</v>
      </c>
      <c r="AM12" s="13">
        <v>0</v>
      </c>
      <c r="AN12" s="13">
        <v>51.9252420299606</v>
      </c>
      <c r="AO12" s="13">
        <v>9.2650619448653906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5.3549419113622401</v>
      </c>
      <c r="BB12" s="13">
        <v>0</v>
      </c>
      <c r="BC12" s="13">
        <v>0</v>
      </c>
      <c r="BD12" s="13">
        <v>0</v>
      </c>
    </row>
    <row r="13" spans="1:56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>
        <f>('TUSD BE'!$L$13+'TUSD BF'!$L$13+'TUSD CVA'!$L$13)*1</f>
        <v>0</v>
      </c>
      <c r="M13" s="13">
        <f>('TUSD BE'!$M$13+'TUSD BF'!$M$13+'TUSD CVA'!$M$13)*1</f>
        <v>1.0941628516213198</v>
      </c>
      <c r="N13" s="13">
        <f ca="1">('TUSD BE'!$N$13+'TUSD BF'!$N$13+'TUSD CVA'!$N$13)*1</f>
        <v>0</v>
      </c>
      <c r="O13" s="13">
        <f>('TUSD BE'!$O$13+'TUSD BF'!$O$13+'TUSD CVA'!$O$13)*1</f>
        <v>0</v>
      </c>
      <c r="P13" s="13">
        <f>('TUSD BE'!$P$13+'TUSD BF'!$P$13+'TUSD CVA'!$P$13)*1</f>
        <v>0</v>
      </c>
      <c r="Q13" s="13">
        <f>('TUSD BE'!$Q$13+'TUSD BF'!$Q$13+'TUSD CVA'!$Q$13)*1</f>
        <v>0</v>
      </c>
      <c r="R13" s="13">
        <f>('TUSD BE'!$R$13+'TUSD BF'!$R$13+'TUSD CVA'!$R$13)*1</f>
        <v>0</v>
      </c>
      <c r="S13" s="13">
        <f>('TUSD BE'!$S$13+'TUSD BF'!$S$13+'TUSD CVA'!$S$13)*1</f>
        <v>0</v>
      </c>
      <c r="T13" s="13">
        <f>('TUSD BE'!$U$13+'TUSD BF'!$U$13+'TUSD CVA'!$U$13)*1</f>
        <v>0</v>
      </c>
      <c r="U13" s="13">
        <f>('TUSD BE'!$V$13+'TUSD BF'!$V$13+'TUSD CVA'!$V$13)*1</f>
        <v>0</v>
      </c>
      <c r="V13" s="13">
        <f>('TUSD BE'!$W$13+'TUSD BF'!$W$13+'TUSD CVA'!$W$13)*1</f>
        <v>0</v>
      </c>
      <c r="W13" s="13">
        <f>('TUSD BE'!$X$13+'TUSD BF'!$X$13+'TUSD CVA'!$X$13)*1</f>
        <v>0</v>
      </c>
      <c r="X13" s="13">
        <f>('TUSD BE'!$Y$13+'TUSD BF'!$Y$13+'TUSD CVA'!$Y$13)*1</f>
        <v>803.89939743905336</v>
      </c>
      <c r="Y13" s="13">
        <f>('TUSD BE'!$Z$13+'TUSD BF'!$Z$13+'TUSD CVA'!$Z$13)*1</f>
        <v>0</v>
      </c>
      <c r="Z13" s="13">
        <f>('TUSD BE'!$AA$13+'TUSD BF'!$AA$13+'TUSD CVA'!$AA$13)*1</f>
        <v>0</v>
      </c>
      <c r="AA13" s="13">
        <f>('TUSD BE'!$AC$13+'TUSD BF'!$AC$13+'TUSD CVA'!$AC$13)*1</f>
        <v>1126.1983890952947</v>
      </c>
      <c r="AB13" s="13">
        <f ca="1">('TUSD BE'!$AE$13+'TUSD BF'!$AE$13+'TUSD CVA'!$AE$13)*1</f>
        <v>-34.813994381977786</v>
      </c>
      <c r="AC13" s="13">
        <f ca="1">('TUSD BE'!$AF$13+'TUSD BF'!$AF$13+'TUSD CVA'!$AF$13)*1</f>
        <v>0</v>
      </c>
      <c r="AD13" s="13">
        <f>('TUSD BE'!$AH$13+'TUSD BF'!$AH$13+'TUSD CVA'!$AH$13)*1</f>
        <v>4.1964292158504586</v>
      </c>
      <c r="AE13" s="13">
        <f>('TUSD BE'!$AI$13+'TUSD BF'!$AI$13+'TUSD CVA'!$AI$13)*1</f>
        <v>0</v>
      </c>
      <c r="AF13" s="13">
        <f ca="1">('TUSD BE'!$AJ$13+'TUSD BF'!$AJ$13+'TUSD CVA'!$AJ$13)*1</f>
        <v>0</v>
      </c>
      <c r="AG13" s="13">
        <f ca="1">('TUSD BE'!$AK$13+'TUSD BF'!$AK$13+'TUSD CVA'!$AK$13)*1</f>
        <v>0</v>
      </c>
      <c r="AI13" s="13">
        <v>0</v>
      </c>
      <c r="AJ13" s="13">
        <v>0.98124953320680297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596.95819901124401</v>
      </c>
      <c r="AV13" s="13">
        <v>0</v>
      </c>
      <c r="AW13" s="13">
        <v>0</v>
      </c>
      <c r="AX13" s="13">
        <v>970.05241018632398</v>
      </c>
      <c r="AY13" s="13">
        <v>0</v>
      </c>
      <c r="AZ13" s="13">
        <v>0</v>
      </c>
      <c r="BA13" s="13">
        <v>5.3549419113622401</v>
      </c>
      <c r="BB13" s="13">
        <v>0</v>
      </c>
      <c r="BC13" s="13">
        <v>0</v>
      </c>
      <c r="BD13" s="13">
        <v>0</v>
      </c>
    </row>
    <row r="14" spans="1:56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>
        <f>('TUSD BE'!$L$14+'TUSD BF'!$L$14+'TUSD CVA'!$L$14)*1</f>
        <v>0</v>
      </c>
      <c r="M14" s="13">
        <f>('TUSD BE'!$M$14+'TUSD BF'!$M$14+'TUSD CVA'!$M$14)*1</f>
        <v>1.0941628516213198</v>
      </c>
      <c r="N14" s="13">
        <f ca="1">('TUSD BE'!$N$14+'TUSD BF'!$N$14+'TUSD CVA'!$N$14)*1</f>
        <v>0</v>
      </c>
      <c r="O14" s="13">
        <f>('TUSD BE'!$O$14+'TUSD BF'!$O$14+'TUSD CVA'!$O$14)*1</f>
        <v>0</v>
      </c>
      <c r="P14" s="13">
        <f>('TUSD BE'!$P$14+'TUSD BF'!$P$14+'TUSD CVA'!$P$14)*1</f>
        <v>0</v>
      </c>
      <c r="Q14" s="13">
        <f>('TUSD BE'!$Q$14+'TUSD BF'!$Q$14+'TUSD CVA'!$Q$14)*1</f>
        <v>0</v>
      </c>
      <c r="R14" s="13">
        <f>('TUSD BE'!$R$14+'TUSD BF'!$R$14+'TUSD CVA'!$R$14)*1</f>
        <v>0</v>
      </c>
      <c r="S14" s="13">
        <f>('TUSD BE'!$S$14+'TUSD BF'!$S$14+'TUSD CVA'!$S$14)*1</f>
        <v>0</v>
      </c>
      <c r="T14" s="13">
        <f>('TUSD BE'!$U$14+'TUSD BF'!$U$14+'TUSD CVA'!$U$14)*1</f>
        <v>0</v>
      </c>
      <c r="U14" s="13">
        <f>('TUSD BE'!$V$14+'TUSD BF'!$V$14+'TUSD CVA'!$V$14)*1</f>
        <v>0</v>
      </c>
      <c r="V14" s="13">
        <f>('TUSD BE'!$W$14+'TUSD BF'!$W$14+'TUSD CVA'!$W$14)*1</f>
        <v>0</v>
      </c>
      <c r="W14" s="13">
        <f>('TUSD BE'!$X$14+'TUSD BF'!$X$14+'TUSD CVA'!$X$14)*1</f>
        <v>0</v>
      </c>
      <c r="X14" s="13">
        <f>('TUSD BE'!$Y$14+'TUSD BF'!$Y$14+'TUSD CVA'!$Y$14)*1</f>
        <v>0</v>
      </c>
      <c r="Y14" s="13">
        <f>('TUSD BE'!$Z$14+'TUSD BF'!$Z$14+'TUSD CVA'!$Z$14)*1</f>
        <v>0</v>
      </c>
      <c r="Z14" s="13">
        <f>('TUSD BE'!$AA$14+'TUSD BF'!$AA$14+'TUSD CVA'!$AA$14)*1</f>
        <v>0</v>
      </c>
      <c r="AA14" s="13">
        <f>('TUSD BE'!$AC$14+'TUSD BF'!$AC$14+'TUSD CVA'!$AC$14)*1</f>
        <v>0</v>
      </c>
      <c r="AB14" s="13">
        <f ca="1">('TUSD BE'!$AE$14+'TUSD BF'!$AE$14+'TUSD CVA'!$AE$14)*1</f>
        <v>-7.5481848290659556E-2</v>
      </c>
      <c r="AC14" s="13">
        <f ca="1">('TUSD BE'!$AF$14+'TUSD BF'!$AF$14+'TUSD CVA'!$AF$14)*1</f>
        <v>0</v>
      </c>
      <c r="AD14" s="13">
        <f>('TUSD BE'!$AH$14+'TUSD BF'!$AH$14+'TUSD CVA'!$AH$14)*1</f>
        <v>4.1964292158504586</v>
      </c>
      <c r="AE14" s="13">
        <f>('TUSD BE'!$AI$14+'TUSD BF'!$AI$14+'TUSD CVA'!$AI$14)*1</f>
        <v>0</v>
      </c>
      <c r="AF14" s="13">
        <f ca="1">('TUSD BE'!$AJ$14+'TUSD BF'!$AJ$14+'TUSD CVA'!$AJ$14)*1</f>
        <v>0</v>
      </c>
      <c r="AG14" s="13">
        <f ca="1">('TUSD BE'!$AK$14+'TUSD BF'!$AK$14+'TUSD CVA'!$AK$14)*1</f>
        <v>0</v>
      </c>
      <c r="AI14" s="13">
        <v>0</v>
      </c>
      <c r="AJ14" s="13">
        <v>0.98124953320680297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5.3549419113622401</v>
      </c>
      <c r="BB14" s="13">
        <v>0</v>
      </c>
      <c r="BC14" s="13">
        <v>0</v>
      </c>
      <c r="BD14" s="13">
        <v>0</v>
      </c>
    </row>
    <row r="15" spans="1:56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>
        <f>('TUSD BE'!$L$15+'TUSD BF'!$L$15+'TUSD CVA'!$L$15)*1</f>
        <v>0</v>
      </c>
      <c r="M15" s="13">
        <f>('TUSD BE'!$M$15+'TUSD BF'!$M$15+'TUSD CVA'!$M$15)*1</f>
        <v>5.6498028048130242E-3</v>
      </c>
      <c r="N15" s="13">
        <f ca="1">('TUSD BE'!$N$15+'TUSD BF'!$N$15+'TUSD CVA'!$N$15)*1</f>
        <v>0</v>
      </c>
      <c r="O15" s="13">
        <f>('TUSD BE'!$O$15+'TUSD BF'!$O$15+'TUSD CVA'!$O$15)*1</f>
        <v>0</v>
      </c>
      <c r="P15" s="13">
        <f>('TUSD BE'!$P$15+'TUSD BF'!$P$15+'TUSD CVA'!$P$15)*1</f>
        <v>0</v>
      </c>
      <c r="Q15" s="13">
        <f>('TUSD BE'!$Q$15+'TUSD BF'!$Q$15+'TUSD CVA'!$Q$15)*1</f>
        <v>0</v>
      </c>
      <c r="R15" s="13">
        <f>('TUSD BE'!$R$15+'TUSD BF'!$R$15+'TUSD CVA'!$R$15)*1</f>
        <v>0</v>
      </c>
      <c r="S15" s="13">
        <f>('TUSD BE'!$S$15+'TUSD BF'!$S$15+'TUSD CVA'!$S$15)*1</f>
        <v>0</v>
      </c>
      <c r="T15" s="13">
        <f>('TUSD BE'!$U$15+'TUSD BF'!$U$15+'TUSD CVA'!$U$15)*1</f>
        <v>0</v>
      </c>
      <c r="U15" s="13">
        <f>('TUSD BE'!$V$15+'TUSD BF'!$V$15+'TUSD CVA'!$V$15)*1</f>
        <v>0</v>
      </c>
      <c r="V15" s="13">
        <f>('TUSD BE'!$W$15+'TUSD BF'!$W$15+'TUSD CVA'!$W$15)*1</f>
        <v>0</v>
      </c>
      <c r="W15" s="13">
        <f>('TUSD BE'!$X$15+'TUSD BF'!$X$15+'TUSD CVA'!$X$15)*1</f>
        <v>0</v>
      </c>
      <c r="X15" s="13">
        <f>('TUSD BE'!$Y$15+'TUSD BF'!$Y$15+'TUSD CVA'!$Y$15)*1</f>
        <v>0</v>
      </c>
      <c r="Y15" s="13">
        <f>('TUSD BE'!$Z$15+'TUSD BF'!$Z$15+'TUSD CVA'!$Z$15)*1</f>
        <v>0</v>
      </c>
      <c r="Z15" s="13">
        <f>('TUSD BE'!$AA$15+'TUSD BF'!$AA$15+'TUSD CVA'!$AA$15)*1</f>
        <v>0</v>
      </c>
      <c r="AA15" s="13">
        <f>('TUSD BE'!$AC$15+'TUSD BF'!$AC$15+'TUSD CVA'!$AC$15)*1</f>
        <v>4.4161843062033137</v>
      </c>
      <c r="AB15" s="13">
        <f ca="1">('TUSD BE'!$AE$15+'TUSD BF'!$AE$15+'TUSD CVA'!$AE$15)*1</f>
        <v>-8.9768343482038868E-2</v>
      </c>
      <c r="AC15" s="13">
        <f ca="1">('TUSD BE'!$AF$15+'TUSD BF'!$AF$15+'TUSD CVA'!$AF$15)*1</f>
        <v>0</v>
      </c>
      <c r="AD15" s="13">
        <f>('TUSD BE'!$AH$15+'TUSD BF'!$AH$15+'TUSD CVA'!$AH$15)*1</f>
        <v>0</v>
      </c>
      <c r="AE15" s="13">
        <f>('TUSD BE'!$AI$15+'TUSD BF'!$AI$15+'TUSD CVA'!$AI$15)*1</f>
        <v>0</v>
      </c>
      <c r="AF15" s="13">
        <f ca="1">('TUSD BE'!$AJ$15+'TUSD BF'!$AJ$15+'TUSD CVA'!$AJ$15)*1</f>
        <v>0</v>
      </c>
      <c r="AG15" s="13">
        <f ca="1">('TUSD BE'!$AK$15+'TUSD BF'!$AK$15+'TUSD CVA'!$AK$15)*1</f>
        <v>0</v>
      </c>
      <c r="AI15" s="13">
        <v>0</v>
      </c>
      <c r="AJ15" s="13">
        <v>5.2482207938544401E-3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3.8038780776407202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</row>
    <row r="16" spans="1:56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>
        <f>('TUSD BE'!$L$16+'TUSD BF'!$L$16+'TUSD CVA'!$L$16)*1</f>
        <v>0</v>
      </c>
      <c r="M16" s="13">
        <f>('TUSD BE'!$M$16+'TUSD BF'!$M$16+'TUSD CVA'!$M$16)*1</f>
        <v>5.6498028048130242E-3</v>
      </c>
      <c r="N16" s="13">
        <f ca="1">('TUSD BE'!$N$16+'TUSD BF'!$N$16+'TUSD CVA'!$N$16)*1</f>
        <v>0</v>
      </c>
      <c r="O16" s="13">
        <f>('TUSD BE'!$O$16+'TUSD BF'!$O$16+'TUSD CVA'!$O$16)*1</f>
        <v>0</v>
      </c>
      <c r="P16" s="13">
        <f>('TUSD BE'!$P$16+'TUSD BF'!$P$16+'TUSD CVA'!$P$16)*1</f>
        <v>0</v>
      </c>
      <c r="Q16" s="13">
        <f>('TUSD BE'!$Q$16+'TUSD BF'!$Q$16+'TUSD CVA'!$Q$16)*1</f>
        <v>0</v>
      </c>
      <c r="R16" s="13">
        <f>('TUSD BE'!$R$16+'TUSD BF'!$R$16+'TUSD CVA'!$R$16)*1</f>
        <v>0</v>
      </c>
      <c r="S16" s="13">
        <f>('TUSD BE'!$S$16+'TUSD BF'!$S$16+'TUSD CVA'!$S$16)*1</f>
        <v>0</v>
      </c>
      <c r="T16" s="13">
        <f>('TUSD BE'!$U$16+'TUSD BF'!$U$16+'TUSD CVA'!$U$16)*1</f>
        <v>0</v>
      </c>
      <c r="U16" s="13">
        <f>('TUSD BE'!$V$16+'TUSD BF'!$V$16+'TUSD CVA'!$V$16)*1</f>
        <v>0</v>
      </c>
      <c r="V16" s="13">
        <f>('TUSD BE'!$W$16+'TUSD BF'!$W$16+'TUSD CVA'!$W$16)*1</f>
        <v>0</v>
      </c>
      <c r="W16" s="13">
        <f>('TUSD BE'!$X$16+'TUSD BF'!$X$16+'TUSD CVA'!$X$16)*1</f>
        <v>0</v>
      </c>
      <c r="X16" s="13">
        <f>('TUSD BE'!$Y$16+'TUSD BF'!$Y$16+'TUSD CVA'!$Y$16)*1</f>
        <v>0</v>
      </c>
      <c r="Y16" s="13">
        <f>('TUSD BE'!$Z$16+'TUSD BF'!$Z$16+'TUSD CVA'!$Z$16)*1</f>
        <v>0</v>
      </c>
      <c r="Z16" s="13">
        <f>('TUSD BE'!$AA$16+'TUSD BF'!$AA$16+'TUSD CVA'!$AA$16)*1</f>
        <v>0</v>
      </c>
      <c r="AA16" s="13">
        <f>('TUSD BE'!$AC$16+'TUSD BF'!$AC$16+'TUSD CVA'!$AC$16)*1</f>
        <v>19.796817983869843</v>
      </c>
      <c r="AB16" s="13">
        <f ca="1">('TUSD BE'!$AE$16+'TUSD BF'!$AE$16+'TUSD CVA'!$AE$16)*1</f>
        <v>-0.40213969225288509</v>
      </c>
      <c r="AC16" s="13">
        <f ca="1">('TUSD BE'!$AF$16+'TUSD BF'!$AF$16+'TUSD CVA'!$AF$16)*1</f>
        <v>0</v>
      </c>
      <c r="AD16" s="13">
        <f>('TUSD BE'!$AH$16+'TUSD BF'!$AH$16+'TUSD CVA'!$AH$16)*1</f>
        <v>0</v>
      </c>
      <c r="AE16" s="13">
        <f>('TUSD BE'!$AI$16+'TUSD BF'!$AI$16+'TUSD CVA'!$AI$16)*1</f>
        <v>0</v>
      </c>
      <c r="AF16" s="13">
        <f ca="1">('TUSD BE'!$AJ$16+'TUSD BF'!$AJ$16+'TUSD CVA'!$AJ$16)*1</f>
        <v>0</v>
      </c>
      <c r="AG16" s="13">
        <f ca="1">('TUSD BE'!$AK$16+'TUSD BF'!$AK$16+'TUSD CVA'!$AK$16)*1</f>
        <v>0</v>
      </c>
      <c r="AI16" s="13">
        <v>0</v>
      </c>
      <c r="AJ16" s="13">
        <v>5.2482207938544401E-3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17.051981346431401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</row>
    <row r="17" spans="1:56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>
        <f>('TUSD BE'!$L$17+'TUSD BF'!$L$17+'TUSD CVA'!$L$17)*1</f>
        <v>0</v>
      </c>
      <c r="M17" s="13">
        <f>('TUSD BE'!$M$17+'TUSD BF'!$M$17+'TUSD CVA'!$M$17)*1</f>
        <v>2.8225399242690159</v>
      </c>
      <c r="N17" s="13">
        <f ca="1">('TUSD BE'!$N$17+'TUSD BF'!$N$17+'TUSD CVA'!$N$17)*1</f>
        <v>0</v>
      </c>
      <c r="O17" s="13">
        <f>('TUSD BE'!$O$17+'TUSD BF'!$O$17+'TUSD CVA'!$O$17)*1</f>
        <v>0</v>
      </c>
      <c r="P17" s="13">
        <f>('TUSD BE'!$P$17+'TUSD BF'!$P$17+'TUSD CVA'!$P$17)*1</f>
        <v>0</v>
      </c>
      <c r="Q17" s="13">
        <f>('TUSD BE'!$Q$17+'TUSD BF'!$Q$17+'TUSD CVA'!$Q$17)*1</f>
        <v>93.450123036248542</v>
      </c>
      <c r="R17" s="13">
        <f>('TUSD BE'!$R$17+'TUSD BF'!$R$17+'TUSD CVA'!$R$17)*1</f>
        <v>14.71905371832413</v>
      </c>
      <c r="S17" s="13">
        <f>('TUSD BE'!$S$17+'TUSD BF'!$S$17+'TUSD CVA'!$S$17)*1</f>
        <v>0</v>
      </c>
      <c r="T17" s="13">
        <f>('TUSD BE'!$U$17+'TUSD BF'!$U$17+'TUSD CVA'!$U$17)*1</f>
        <v>0</v>
      </c>
      <c r="U17" s="13">
        <f>('TUSD BE'!$V$17+'TUSD BF'!$V$17+'TUSD CVA'!$V$17)*1</f>
        <v>0</v>
      </c>
      <c r="V17" s="13">
        <f>('TUSD BE'!$W$17+'TUSD BF'!$W$17+'TUSD CVA'!$W$17)*1</f>
        <v>0</v>
      </c>
      <c r="W17" s="13">
        <f>('TUSD BE'!$X$17+'TUSD BF'!$X$17+'TUSD CVA'!$X$17)*1</f>
        <v>0</v>
      </c>
      <c r="X17" s="13">
        <f>('TUSD BE'!$Y$17+'TUSD BF'!$Y$17+'TUSD CVA'!$Y$17)*1</f>
        <v>404.5206730358102</v>
      </c>
      <c r="Y17" s="13">
        <f>('TUSD BE'!$Z$17+'TUSD BF'!$Z$17+'TUSD CVA'!$Z$17)*1</f>
        <v>0</v>
      </c>
      <c r="Z17" s="13">
        <f>('TUSD BE'!$AA$17+'TUSD BF'!$AA$17+'TUSD CVA'!$AA$17)*1</f>
        <v>0</v>
      </c>
      <c r="AA17" s="13">
        <f>('TUSD BE'!$AC$17+'TUSD BF'!$AC$17+'TUSD CVA'!$AC$17)*1</f>
        <v>1181.415290054452</v>
      </c>
      <c r="AB17" s="13">
        <f ca="1">('TUSD BE'!$AE$17+'TUSD BF'!$AE$17+'TUSD CVA'!$AE$17)*1</f>
        <v>-31.855568870609716</v>
      </c>
      <c r="AC17" s="13">
        <f ca="1">('TUSD BE'!$AF$17+'TUSD BF'!$AF$17+'TUSD CVA'!$AF$17)*1</f>
        <v>0</v>
      </c>
      <c r="AD17" s="13">
        <f>('TUSD BE'!$AH$17+'TUSD BF'!$AH$17+'TUSD CVA'!$AH$17)*1</f>
        <v>24.409547874662014</v>
      </c>
      <c r="AE17" s="13">
        <f>('TUSD BE'!$AI$17+'TUSD BF'!$AI$17+'TUSD CVA'!$AI$17)*1</f>
        <v>0</v>
      </c>
      <c r="AF17" s="13">
        <f ca="1">('TUSD BE'!$AJ$17+'TUSD BF'!$AJ$17+'TUSD CVA'!$AJ$17)*1</f>
        <v>0</v>
      </c>
      <c r="AG17" s="13">
        <f ca="1">('TUSD BE'!$AK$17+'TUSD BF'!$AK$17+'TUSD CVA'!$AK$17)*1</f>
        <v>0</v>
      </c>
      <c r="AI17" s="13">
        <v>0</v>
      </c>
      <c r="AJ17" s="13">
        <v>2.2379542098964098</v>
      </c>
      <c r="AK17" s="13">
        <v>0</v>
      </c>
      <c r="AL17" s="13">
        <v>0</v>
      </c>
      <c r="AM17" s="13">
        <v>0</v>
      </c>
      <c r="AN17" s="13">
        <v>59.684186241334103</v>
      </c>
      <c r="AO17" s="13">
        <v>9.2650619448653906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300.38826649854002</v>
      </c>
      <c r="AV17" s="13">
        <v>0</v>
      </c>
      <c r="AW17" s="13">
        <v>0</v>
      </c>
      <c r="AX17" s="13">
        <v>1017.6135704775</v>
      </c>
      <c r="AY17" s="13">
        <v>0</v>
      </c>
      <c r="AZ17" s="13">
        <v>0</v>
      </c>
      <c r="BA17" s="13">
        <v>31.1484164414879</v>
      </c>
      <c r="BB17" s="13">
        <v>0</v>
      </c>
      <c r="BC17" s="13">
        <v>0</v>
      </c>
      <c r="BD17" s="13">
        <v>0</v>
      </c>
    </row>
    <row r="18" spans="1:56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>
        <f>('TUSD BE'!$L$18+'TUSD BF'!$L$18+'TUSD CVA'!$L$18)*1</f>
        <v>0</v>
      </c>
      <c r="M18" s="13">
        <f>('TUSD BE'!$M$18+'TUSD BF'!$M$18+'TUSD CVA'!$M$18)*1</f>
        <v>2.8225399242690159</v>
      </c>
      <c r="N18" s="13">
        <f ca="1">('TUSD BE'!$N$18+'TUSD BF'!$N$18+'TUSD CVA'!$N$18)*1</f>
        <v>0</v>
      </c>
      <c r="O18" s="13">
        <f>('TUSD BE'!$O$18+'TUSD BF'!$O$18+'TUSD CVA'!$O$18)*1</f>
        <v>0</v>
      </c>
      <c r="P18" s="13">
        <f>('TUSD BE'!$P$18+'TUSD BF'!$P$18+'TUSD CVA'!$P$18)*1</f>
        <v>0</v>
      </c>
      <c r="Q18" s="13">
        <f>('TUSD BE'!$Q$18+'TUSD BF'!$Q$18+'TUSD CVA'!$Q$18)*1</f>
        <v>93.450123036248542</v>
      </c>
      <c r="R18" s="13">
        <f>('TUSD BE'!$R$18+'TUSD BF'!$R$18+'TUSD CVA'!$R$18)*1</f>
        <v>14.71905371832413</v>
      </c>
      <c r="S18" s="13">
        <f>('TUSD BE'!$S$18+'TUSD BF'!$S$18+'TUSD CVA'!$S$18)*1</f>
        <v>0</v>
      </c>
      <c r="T18" s="13">
        <f>('TUSD BE'!$U$18+'TUSD BF'!$U$18+'TUSD CVA'!$U$18)*1</f>
        <v>0</v>
      </c>
      <c r="U18" s="13">
        <f>('TUSD BE'!$V$18+'TUSD BF'!$V$18+'TUSD CVA'!$V$18)*1</f>
        <v>0</v>
      </c>
      <c r="V18" s="13">
        <f>('TUSD BE'!$W$18+'TUSD BF'!$W$18+'TUSD CVA'!$W$18)*1</f>
        <v>0</v>
      </c>
      <c r="W18" s="13">
        <f>('TUSD BE'!$X$18+'TUSD BF'!$X$18+'TUSD CVA'!$X$18)*1</f>
        <v>0</v>
      </c>
      <c r="X18" s="13">
        <f>('TUSD BE'!$Y$18+'TUSD BF'!$Y$18+'TUSD CVA'!$Y$18)*1</f>
        <v>242.67478696522187</v>
      </c>
      <c r="Y18" s="13">
        <f>('TUSD BE'!$Z$18+'TUSD BF'!$Z$18+'TUSD CVA'!$Z$18)*1</f>
        <v>0</v>
      </c>
      <c r="Z18" s="13">
        <f>('TUSD BE'!$AA$18+'TUSD BF'!$AA$18+'TUSD CVA'!$AA$18)*1</f>
        <v>0</v>
      </c>
      <c r="AA18" s="13">
        <f>('TUSD BE'!$AC$18+'TUSD BF'!$AC$18+'TUSD CVA'!$AC$18)*1</f>
        <v>708.84905954536441</v>
      </c>
      <c r="AB18" s="13">
        <f ca="1">('TUSD BE'!$AE$18+'TUSD BF'!$AE$18+'TUSD CVA'!$AE$18)*1</f>
        <v>-19.869078980246105</v>
      </c>
      <c r="AC18" s="13">
        <f ca="1">('TUSD BE'!$AF$18+'TUSD BF'!$AF$18+'TUSD CVA'!$AF$18)*1</f>
        <v>0</v>
      </c>
      <c r="AD18" s="13">
        <f>('TUSD BE'!$AH$18+'TUSD BF'!$AH$18+'TUSD CVA'!$AH$18)*1</f>
        <v>24.409547874662014</v>
      </c>
      <c r="AE18" s="13">
        <f>('TUSD BE'!$AI$18+'TUSD BF'!$AI$18+'TUSD CVA'!$AI$18)*1</f>
        <v>0</v>
      </c>
      <c r="AF18" s="13">
        <f ca="1">('TUSD BE'!$AJ$18+'TUSD BF'!$AJ$18+'TUSD CVA'!$AJ$18)*1</f>
        <v>0</v>
      </c>
      <c r="AG18" s="13">
        <f ca="1">('TUSD BE'!$AK$18+'TUSD BF'!$AK$18+'TUSD CVA'!$AK$18)*1</f>
        <v>0</v>
      </c>
      <c r="AI18" s="13">
        <v>0</v>
      </c>
      <c r="AJ18" s="13">
        <v>2.2379542098964098</v>
      </c>
      <c r="AK18" s="13">
        <v>0</v>
      </c>
      <c r="AL18" s="13">
        <v>0</v>
      </c>
      <c r="AM18" s="13">
        <v>0</v>
      </c>
      <c r="AN18" s="13">
        <v>59.684186241334103</v>
      </c>
      <c r="AO18" s="13">
        <v>9.2650619448653906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180.20501136931199</v>
      </c>
      <c r="AV18" s="13">
        <v>0</v>
      </c>
      <c r="AW18" s="13">
        <v>0</v>
      </c>
      <c r="AX18" s="13">
        <v>610.56804774498005</v>
      </c>
      <c r="AY18" s="13">
        <v>0</v>
      </c>
      <c r="AZ18" s="13">
        <v>0</v>
      </c>
      <c r="BA18" s="13">
        <v>31.1484164414879</v>
      </c>
      <c r="BB18" s="13">
        <v>0</v>
      </c>
      <c r="BC18" s="13">
        <v>0</v>
      </c>
      <c r="BD18" s="13">
        <v>0</v>
      </c>
    </row>
    <row r="19" spans="1:56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>
        <f>('TUSD BE'!$L$19+'TUSD BF'!$L$19+'TUSD CVA'!$L$19)*1</f>
        <v>0</v>
      </c>
      <c r="M19" s="13">
        <f>('TUSD BE'!$M$19+'TUSD BF'!$M$19+'TUSD CVA'!$M$19)*1</f>
        <v>2.8225399242690159</v>
      </c>
      <c r="N19" s="13">
        <f ca="1">('TUSD BE'!$N$19+'TUSD BF'!$N$19+'TUSD CVA'!$N$19)*1</f>
        <v>0</v>
      </c>
      <c r="O19" s="13">
        <f>('TUSD BE'!$O$19+'TUSD BF'!$O$19+'TUSD CVA'!$O$19)*1</f>
        <v>0</v>
      </c>
      <c r="P19" s="13">
        <f>('TUSD BE'!$P$19+'TUSD BF'!$P$19+'TUSD CVA'!$P$19)*1</f>
        <v>0</v>
      </c>
      <c r="Q19" s="13">
        <f>('TUSD BE'!$Q$19+'TUSD BF'!$Q$19+'TUSD CVA'!$Q$19)*1</f>
        <v>93.450123036248542</v>
      </c>
      <c r="R19" s="13">
        <f>('TUSD BE'!$R$19+'TUSD BF'!$R$19+'TUSD CVA'!$R$19)*1</f>
        <v>14.71905371832413</v>
      </c>
      <c r="S19" s="13">
        <f>('TUSD BE'!$S$19+'TUSD BF'!$S$19+'TUSD CVA'!$S$19)*1</f>
        <v>0</v>
      </c>
      <c r="T19" s="13">
        <f>('TUSD BE'!$U$19+'TUSD BF'!$U$19+'TUSD CVA'!$U$19)*1</f>
        <v>0</v>
      </c>
      <c r="U19" s="13">
        <f>('TUSD BE'!$V$19+'TUSD BF'!$V$19+'TUSD CVA'!$V$19)*1</f>
        <v>0</v>
      </c>
      <c r="V19" s="13">
        <f>('TUSD BE'!$W$19+'TUSD BF'!$W$19+'TUSD CVA'!$W$19)*1</f>
        <v>0</v>
      </c>
      <c r="W19" s="13">
        <f>('TUSD BE'!$X$19+'TUSD BF'!$X$19+'TUSD CVA'!$X$19)*1</f>
        <v>0</v>
      </c>
      <c r="X19" s="13">
        <f>('TUSD BE'!$Y$19+'TUSD BF'!$Y$19+'TUSD CVA'!$Y$19)*1</f>
        <v>80.891553121315184</v>
      </c>
      <c r="Y19" s="13">
        <f>('TUSD BE'!$Z$19+'TUSD BF'!$Z$19+'TUSD CVA'!$Z$19)*1</f>
        <v>0</v>
      </c>
      <c r="Z19" s="13">
        <f>('TUSD BE'!$AA$19+'TUSD BF'!$AA$19+'TUSD CVA'!$AA$19)*1</f>
        <v>0</v>
      </c>
      <c r="AA19" s="13">
        <f>('TUSD BE'!$AC$19+'TUSD BF'!$AC$19+'TUSD CVA'!$AC$19)*1</f>
        <v>236.28291081292451</v>
      </c>
      <c r="AB19" s="13">
        <f ca="1">('TUSD BE'!$AE$19+'TUSD BF'!$AE$19+'TUSD CVA'!$AE$19)*1</f>
        <v>-7.8835155404985455</v>
      </c>
      <c r="AC19" s="13">
        <f ca="1">('TUSD BE'!$AF$19+'TUSD BF'!$AF$19+'TUSD CVA'!$AF$19)*1</f>
        <v>0</v>
      </c>
      <c r="AD19" s="13">
        <f>('TUSD BE'!$AH$19+'TUSD BF'!$AH$19+'TUSD CVA'!$AH$19)*1</f>
        <v>24.409547874662014</v>
      </c>
      <c r="AE19" s="13">
        <f>('TUSD BE'!$AI$19+'TUSD BF'!$AI$19+'TUSD CVA'!$AI$19)*1</f>
        <v>0</v>
      </c>
      <c r="AF19" s="13">
        <f ca="1">('TUSD BE'!$AJ$19+'TUSD BF'!$AJ$19+'TUSD CVA'!$AJ$19)*1</f>
        <v>0</v>
      </c>
      <c r="AG19" s="13">
        <f ca="1">('TUSD BE'!$AK$19+'TUSD BF'!$AK$19+'TUSD CVA'!$AK$19)*1</f>
        <v>0</v>
      </c>
      <c r="AI19" s="13">
        <v>0</v>
      </c>
      <c r="AJ19" s="13">
        <v>2.2379542098964098</v>
      </c>
      <c r="AK19" s="13">
        <v>0</v>
      </c>
      <c r="AL19" s="13">
        <v>0</v>
      </c>
      <c r="AM19" s="13">
        <v>0</v>
      </c>
      <c r="AN19" s="13">
        <v>59.684186241334103</v>
      </c>
      <c r="AO19" s="13">
        <v>9.2650619448653906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60.068304662558198</v>
      </c>
      <c r="AV19" s="13">
        <v>0</v>
      </c>
      <c r="AW19" s="13">
        <v>0</v>
      </c>
      <c r="AX19" s="13">
        <v>203.52260379705999</v>
      </c>
      <c r="AY19" s="13">
        <v>0</v>
      </c>
      <c r="AZ19" s="13">
        <v>0</v>
      </c>
      <c r="BA19" s="13">
        <v>31.1484164414879</v>
      </c>
      <c r="BB19" s="13">
        <v>0</v>
      </c>
      <c r="BC19" s="13">
        <v>0</v>
      </c>
      <c r="BD19" s="13">
        <v>0</v>
      </c>
    </row>
    <row r="20" spans="1:56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>
        <f>('TUSD BE'!$L$20+'TUSD BF'!$L$20+'TUSD CVA'!$L$20)*1</f>
        <v>0</v>
      </c>
      <c r="M20" s="13">
        <f>('TUSD BE'!$M$20+'TUSD BF'!$M$20+'TUSD CVA'!$M$20)*1</f>
        <v>2.8225399242690159</v>
      </c>
      <c r="N20" s="13">
        <f ca="1">('TUSD BE'!$N$20+'TUSD BF'!$N$20+'TUSD CVA'!$N$20)*1</f>
        <v>0</v>
      </c>
      <c r="O20" s="13">
        <f>('TUSD BE'!$O$20+'TUSD BF'!$O$20+'TUSD CVA'!$O$20)*1</f>
        <v>0</v>
      </c>
      <c r="P20" s="13">
        <f>('TUSD BE'!$P$20+'TUSD BF'!$P$20+'TUSD CVA'!$P$20)*1</f>
        <v>0</v>
      </c>
      <c r="Q20" s="13">
        <f>('TUSD BE'!$Q$20+'TUSD BF'!$Q$20+'TUSD CVA'!$Q$20)*1</f>
        <v>93.450123036248542</v>
      </c>
      <c r="R20" s="13">
        <f>('TUSD BE'!$R$20+'TUSD BF'!$R$20+'TUSD CVA'!$R$20)*1</f>
        <v>14.71905371832413</v>
      </c>
      <c r="S20" s="13">
        <f>('TUSD BE'!$S$20+'TUSD BF'!$S$20+'TUSD CVA'!$S$20)*1</f>
        <v>0</v>
      </c>
      <c r="T20" s="13">
        <f>('TUSD BE'!$U$20+'TUSD BF'!$U$20+'TUSD CVA'!$U$20)*1</f>
        <v>0</v>
      </c>
      <c r="U20" s="13">
        <f>('TUSD BE'!$V$20+'TUSD BF'!$V$20+'TUSD CVA'!$V$20)*1</f>
        <v>0</v>
      </c>
      <c r="V20" s="13">
        <f>('TUSD BE'!$W$20+'TUSD BF'!$W$20+'TUSD CVA'!$W$20)*1</f>
        <v>0</v>
      </c>
      <c r="W20" s="13">
        <f>('TUSD BE'!$X$20+'TUSD BF'!$X$20+'TUSD CVA'!$X$20)*1</f>
        <v>0</v>
      </c>
      <c r="X20" s="13">
        <f>('TUSD BE'!$Y$20+'TUSD BF'!$Y$20+'TUSD CVA'!$Y$20)*1</f>
        <v>139.52242557919371</v>
      </c>
      <c r="Y20" s="13">
        <f>('TUSD BE'!$Z$20+'TUSD BF'!$Z$20+'TUSD CVA'!$Z$20)*1</f>
        <v>0</v>
      </c>
      <c r="Z20" s="13">
        <f>('TUSD BE'!$AA$20+'TUSD BF'!$AA$20+'TUSD CVA'!$AA$20)*1</f>
        <v>0</v>
      </c>
      <c r="AA20" s="13">
        <f>('TUSD BE'!$AC$20+'TUSD BF'!$AC$20+'TUSD CVA'!$AC$20)*1</f>
        <v>407.38451792005594</v>
      </c>
      <c r="AB20" s="13">
        <f ca="1">('TUSD BE'!$AE$20+'TUSD BF'!$AE$20+'TUSD CVA'!$AE$20)*1</f>
        <v>-12.223917326026106</v>
      </c>
      <c r="AC20" s="13">
        <f ca="1">('TUSD BE'!$AF$20+'TUSD BF'!$AF$20+'TUSD CVA'!$AF$20)*1</f>
        <v>0</v>
      </c>
      <c r="AD20" s="13">
        <f>('TUSD BE'!$AH$20+'TUSD BF'!$AH$20+'TUSD CVA'!$AH$20)*1</f>
        <v>24.409547874662014</v>
      </c>
      <c r="AE20" s="13">
        <f>('TUSD BE'!$AI$20+'TUSD BF'!$AI$20+'TUSD CVA'!$AI$20)*1</f>
        <v>0</v>
      </c>
      <c r="AF20" s="13">
        <f ca="1">('TUSD BE'!$AJ$20+'TUSD BF'!$AJ$20+'TUSD CVA'!$AJ$20)*1</f>
        <v>0</v>
      </c>
      <c r="AG20" s="13">
        <f ca="1">('TUSD BE'!$AK$20+'TUSD BF'!$AK$20+'TUSD CVA'!$AK$20)*1</f>
        <v>0</v>
      </c>
      <c r="AI20" s="13">
        <v>0</v>
      </c>
      <c r="AJ20" s="13">
        <v>2.2379542098964098</v>
      </c>
      <c r="AK20" s="13">
        <v>0</v>
      </c>
      <c r="AL20" s="13">
        <v>0</v>
      </c>
      <c r="AM20" s="13">
        <v>0</v>
      </c>
      <c r="AN20" s="13">
        <v>59.684186241334103</v>
      </c>
      <c r="AO20" s="13">
        <v>9.2650619448653906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103.60627121168601</v>
      </c>
      <c r="AV20" s="13">
        <v>0</v>
      </c>
      <c r="AW20" s="13">
        <v>0</v>
      </c>
      <c r="AX20" s="13">
        <v>350.901174148221</v>
      </c>
      <c r="AY20" s="13">
        <v>0</v>
      </c>
      <c r="AZ20" s="13">
        <v>0</v>
      </c>
      <c r="BA20" s="13">
        <v>31.1484164414879</v>
      </c>
      <c r="BB20" s="13">
        <v>0</v>
      </c>
      <c r="BC20" s="13">
        <v>0</v>
      </c>
      <c r="BD20" s="13">
        <v>0</v>
      </c>
    </row>
    <row r="21" spans="1:56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>
        <f>('TUSD BE'!$L$21+'TUSD BF'!$L$21+'TUSD CVA'!$L$21)*(1 - 0.65)</f>
        <v>0</v>
      </c>
      <c r="M21" s="13">
        <f>('TUSD BE'!$M$21+'TUSD BF'!$M$21+'TUSD CVA'!$M$21)*(1 - 0.65)</f>
        <v>0.9878889734941555</v>
      </c>
      <c r="N21" s="13">
        <f ca="1">('TUSD BE'!$N$21+'TUSD BF'!$N$21+'TUSD CVA'!$N$21)*(1 - 0.65)</f>
        <v>0</v>
      </c>
      <c r="O21" s="13">
        <f>('TUSD BE'!$O$21+'TUSD BF'!$O$21+'TUSD CVA'!$O$21)*(1 - 0.65)</f>
        <v>0</v>
      </c>
      <c r="P21" s="13">
        <v>0</v>
      </c>
      <c r="Q21" s="13">
        <f>('TUSD BE'!$Q$21+'TUSD BF'!$Q$21+'TUSD CVA'!$Q$21)*(1 - 0.65)</f>
        <v>0</v>
      </c>
      <c r="R21" s="13">
        <v>0</v>
      </c>
      <c r="S21" s="13">
        <f>('TUSD BE'!$S$21+'TUSD BF'!$S$21+'TUSD CVA'!$S$21)*(1 - 0.65)</f>
        <v>0</v>
      </c>
      <c r="T21" s="13">
        <f>('TUSD BE'!$U$21+'TUSD BF'!$U$21+'TUSD CVA'!$U$21)*(1 - 0.65)</f>
        <v>0</v>
      </c>
      <c r="U21" s="13">
        <f>('TUSD BE'!$V$21+'TUSD BF'!$V$21+'TUSD CVA'!$V$21)*(1 - 0.65)</f>
        <v>0</v>
      </c>
      <c r="V21" s="13">
        <f>('TUSD BE'!$W$21+'TUSD BF'!$W$21+'TUSD CVA'!$W$21)*(1 - 0.65)</f>
        <v>0</v>
      </c>
      <c r="W21" s="13">
        <f>('TUSD BE'!$X$21+'TUSD BF'!$X$21+'TUSD CVA'!$X$21)*(1 - 0.65)</f>
        <v>0</v>
      </c>
      <c r="X21" s="13">
        <f>('TUSD BE'!$Y$21+'TUSD BF'!$Y$21+'TUSD CVA'!$Y$21)*(1 - 0.65)</f>
        <v>48.832848952717796</v>
      </c>
      <c r="Y21" s="13">
        <f>('TUSD BE'!$Z$21+'TUSD BF'!$Z$21+'TUSD CVA'!$Z$21)*(1 - 0.65)</f>
        <v>0</v>
      </c>
      <c r="Z21" s="13">
        <f>('TUSD BE'!$AA$21+'TUSD BF'!$AA$21+'TUSD CVA'!$AA$21)*(1 - 0.65)</f>
        <v>0</v>
      </c>
      <c r="AA21" s="13">
        <f>('TUSD BE'!$AC$21+'TUSD BF'!$AC$21+'TUSD CVA'!$AC$21)*(1 - 0.65)</f>
        <v>142.58458127201956</v>
      </c>
      <c r="AB21" s="13">
        <f ca="1">('TUSD BE'!$AE$21+'TUSD BF'!$AE$21+'TUSD CVA'!$AE$21)*(1 - 0.65)</f>
        <v>-3.7530990625525757</v>
      </c>
      <c r="AC21" s="13">
        <f ca="1">('TUSD BE'!$AF$21+'TUSD BF'!$AF$21+'TUSD CVA'!$AF$21)*(1 - 0.65)</f>
        <v>0</v>
      </c>
      <c r="AD21" s="13">
        <f>('TUSD BE'!$AH$21+'TUSD BF'!$AH$21+'TUSD CVA'!$AH$21)*(1 - 0.65)</f>
        <v>8.5433417561317047</v>
      </c>
      <c r="AE21" s="13">
        <f>('TUSD BE'!$AI$21+'TUSD BF'!$AI$21+'TUSD CVA'!$AI$21)*(1 - 0.65)</f>
        <v>0</v>
      </c>
      <c r="AF21" s="13">
        <f ca="1">('TUSD BE'!$AJ$21+'TUSD BF'!$AJ$21+'TUSD CVA'!$AJ$21)*(1 - 0.65)</f>
        <v>0</v>
      </c>
      <c r="AG21" s="13">
        <f ca="1">('TUSD BE'!$AK$21+'TUSD BF'!$AK$21+'TUSD CVA'!$AK$21)*(1 - 0.65)</f>
        <v>0</v>
      </c>
      <c r="AI21" s="13">
        <v>0</v>
      </c>
      <c r="AJ21" s="13">
        <v>0.78328397346374401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36.262194924089997</v>
      </c>
      <c r="AV21" s="13">
        <v>0</v>
      </c>
      <c r="AW21" s="13">
        <v>0</v>
      </c>
      <c r="AX21" s="13">
        <v>122.815410951877</v>
      </c>
      <c r="AY21" s="13">
        <v>0</v>
      </c>
      <c r="AZ21" s="13">
        <v>0</v>
      </c>
      <c r="BA21" s="13">
        <v>10.901945754520799</v>
      </c>
      <c r="BB21" s="13">
        <v>0</v>
      </c>
      <c r="BC21" s="13">
        <v>0</v>
      </c>
      <c r="BD21" s="13">
        <v>0</v>
      </c>
    </row>
    <row r="22" spans="1:56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>
        <f>('TUSD BE'!$L$22+'TUSD BF'!$L$22+'TUSD CVA'!$L$22)*(1 - 0.4)</f>
        <v>0</v>
      </c>
      <c r="M22" s="13">
        <f>('TUSD BE'!$M$22+'TUSD BF'!$M$22+'TUSD CVA'!$M$22)*(1 - 0.4)</f>
        <v>1.6935239545614096</v>
      </c>
      <c r="N22" s="13">
        <f ca="1">('TUSD BE'!$N$22+'TUSD BF'!$N$22+'TUSD CVA'!$N$22)*(1 - 0.4)</f>
        <v>0</v>
      </c>
      <c r="O22" s="13">
        <f>('TUSD BE'!$O$22+'TUSD BF'!$O$22+'TUSD CVA'!$O$22)*(1 - 0.4)</f>
        <v>0</v>
      </c>
      <c r="P22" s="13">
        <v>0</v>
      </c>
      <c r="Q22" s="13">
        <f>('TUSD BE'!$Q$22+'TUSD BF'!$Q$22+'TUSD CVA'!$Q$22)*(1 - 0.4)</f>
        <v>0</v>
      </c>
      <c r="R22" s="13">
        <v>0</v>
      </c>
      <c r="S22" s="13">
        <f>('TUSD BE'!$S$22+'TUSD BF'!$S$22+'TUSD CVA'!$S$22)*(1 - 0.4)</f>
        <v>0</v>
      </c>
      <c r="T22" s="13">
        <f>('TUSD BE'!$U$22+'TUSD BF'!$U$22+'TUSD CVA'!$U$22)*(1 - 0.4)</f>
        <v>0</v>
      </c>
      <c r="U22" s="13">
        <f>('TUSD BE'!$V$22+'TUSD BF'!$V$22+'TUSD CVA'!$V$22)*(1 - 0.4)</f>
        <v>0</v>
      </c>
      <c r="V22" s="13">
        <f>('TUSD BE'!$W$22+'TUSD BF'!$W$22+'TUSD CVA'!$W$22)*(1 - 0.4)</f>
        <v>0</v>
      </c>
      <c r="W22" s="13">
        <f>('TUSD BE'!$X$22+'TUSD BF'!$X$22+'TUSD CVA'!$X$22)*(1 - 0.4)</f>
        <v>0</v>
      </c>
      <c r="X22" s="13">
        <f>('TUSD BE'!$Y$22+'TUSD BF'!$Y$22+'TUSD CVA'!$Y$22)*(1 - 0.4)</f>
        <v>83.713455347516216</v>
      </c>
      <c r="Y22" s="13">
        <f>('TUSD BE'!$Z$22+'TUSD BF'!$Z$22+'TUSD CVA'!$Z$22)*(1 - 0.4)</f>
        <v>0</v>
      </c>
      <c r="Z22" s="13">
        <f>('TUSD BE'!$AA$22+'TUSD BF'!$AA$22+'TUSD CVA'!$AA$22)*(1 - 0.4)</f>
        <v>0</v>
      </c>
      <c r="AA22" s="13">
        <f>('TUSD BE'!$AC$22+'TUSD BF'!$AC$22+'TUSD CVA'!$AC$22)*(1 - 0.4)</f>
        <v>244.43071075203355</v>
      </c>
      <c r="AB22" s="13">
        <f ca="1">('TUSD BE'!$AE$22+'TUSD BF'!$AE$22+'TUSD CVA'!$AE$22)*(1 - 0.4)</f>
        <v>-6.4338841072329878</v>
      </c>
      <c r="AC22" s="13">
        <f ca="1">('TUSD BE'!$AF$22+'TUSD BF'!$AF$22+'TUSD CVA'!$AF$22)*(1 - 0.4)</f>
        <v>0</v>
      </c>
      <c r="AD22" s="13">
        <f>('TUSD BE'!$AH$22+'TUSD BF'!$AH$22+'TUSD CVA'!$AH$22)*(1 - 0.4)</f>
        <v>14.645728724797207</v>
      </c>
      <c r="AE22" s="13">
        <f>('TUSD BE'!$AI$22+'TUSD BF'!$AI$22+'TUSD CVA'!$AI$22)*(1 - 0.4)</f>
        <v>0</v>
      </c>
      <c r="AF22" s="13">
        <f ca="1">('TUSD BE'!$AJ$22+'TUSD BF'!$AJ$22+'TUSD CVA'!$AJ$22)*(1 - 0.4)</f>
        <v>0</v>
      </c>
      <c r="AG22" s="13">
        <f ca="1">('TUSD BE'!$AK$22+'TUSD BF'!$AK$22+'TUSD CVA'!$AK$22)*(1 - 0.4)</f>
        <v>0</v>
      </c>
      <c r="AI22" s="13">
        <v>0</v>
      </c>
      <c r="AJ22" s="13">
        <v>1.34277252593785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62.163762727011402</v>
      </c>
      <c r="AV22" s="13">
        <v>0</v>
      </c>
      <c r="AW22" s="13">
        <v>0</v>
      </c>
      <c r="AX22" s="13">
        <v>210.54070448893199</v>
      </c>
      <c r="AY22" s="13">
        <v>0</v>
      </c>
      <c r="AZ22" s="13">
        <v>0</v>
      </c>
      <c r="BA22" s="13">
        <v>18.689049864892699</v>
      </c>
      <c r="BB22" s="13">
        <v>0</v>
      </c>
      <c r="BC22" s="13">
        <v>0</v>
      </c>
      <c r="BD22" s="13">
        <v>0</v>
      </c>
    </row>
    <row r="23" spans="1:56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>
        <f>('TUSD BE'!$L$23+'TUSD BF'!$L$23+'TUSD CVA'!$L$23)*(1 - 0.1)</f>
        <v>0</v>
      </c>
      <c r="M23" s="13">
        <f>('TUSD BE'!$M$23+'TUSD BF'!$M$23+'TUSD CVA'!$M$23)*(1 - 0.1)</f>
        <v>2.5402859318421145</v>
      </c>
      <c r="N23" s="13">
        <f ca="1">('TUSD BE'!$N$23+'TUSD BF'!$N$23+'TUSD CVA'!$N$23)*(1 - 0.1)</f>
        <v>0</v>
      </c>
      <c r="O23" s="13">
        <f>('TUSD BE'!$O$23+'TUSD BF'!$O$23+'TUSD CVA'!$O$23)*(1 - 0.1)</f>
        <v>0</v>
      </c>
      <c r="P23" s="13">
        <v>0</v>
      </c>
      <c r="Q23" s="13">
        <f>('TUSD BE'!$Q$23+'TUSD BF'!$Q$23+'TUSD CVA'!$Q$23)*(1 - 0.1)</f>
        <v>0</v>
      </c>
      <c r="R23" s="13">
        <v>0</v>
      </c>
      <c r="S23" s="13">
        <f>('TUSD BE'!$S$23+'TUSD BF'!$S$23+'TUSD CVA'!$S$23)*(1 - 0.1)</f>
        <v>0</v>
      </c>
      <c r="T23" s="13">
        <f>('TUSD BE'!$U$23+'TUSD BF'!$U$23+'TUSD CVA'!$U$23)*(1 - 0.1)</f>
        <v>0</v>
      </c>
      <c r="U23" s="13">
        <f>('TUSD BE'!$V$23+'TUSD BF'!$V$23+'TUSD CVA'!$V$23)*(1 - 0.1)</f>
        <v>0</v>
      </c>
      <c r="V23" s="13">
        <f>('TUSD BE'!$W$23+'TUSD BF'!$W$23+'TUSD CVA'!$W$23)*(1 - 0.1)</f>
        <v>0</v>
      </c>
      <c r="W23" s="13">
        <f>('TUSD BE'!$X$23+'TUSD BF'!$X$23+'TUSD CVA'!$X$23)*(1 - 0.1)</f>
        <v>0</v>
      </c>
      <c r="X23" s="13">
        <f>('TUSD BE'!$Y$23+'TUSD BF'!$Y$23+'TUSD CVA'!$Y$23)*(1 - 0.1)</f>
        <v>125.57018302127435</v>
      </c>
      <c r="Y23" s="13">
        <f>('TUSD BE'!$Z$23+'TUSD BF'!$Z$23+'TUSD CVA'!$Z$23)*(1 - 0.1)</f>
        <v>0</v>
      </c>
      <c r="Z23" s="13">
        <f>('TUSD BE'!$AA$23+'TUSD BF'!$AA$23+'TUSD CVA'!$AA$23)*(1 - 0.1)</f>
        <v>0</v>
      </c>
      <c r="AA23" s="13">
        <f>('TUSD BE'!$AC$23+'TUSD BF'!$AC$23+'TUSD CVA'!$AC$23)*(1 - 0.1)</f>
        <v>366.64606612805034</v>
      </c>
      <c r="AB23" s="13">
        <f ca="1">('TUSD BE'!$AE$23+'TUSD BF'!$AE$23+'TUSD CVA'!$AE$23)*(1 - 0.1)</f>
        <v>-9.6508261608494816</v>
      </c>
      <c r="AC23" s="13">
        <f ca="1">('TUSD BE'!$AF$23+'TUSD BF'!$AF$23+'TUSD CVA'!$AF$23)*(1 - 0.1)</f>
        <v>0</v>
      </c>
      <c r="AD23" s="13">
        <f>('TUSD BE'!$AH$23+'TUSD BF'!$AH$23+'TUSD CVA'!$AH$23)*(1 - 0.1)</f>
        <v>21.968593087195813</v>
      </c>
      <c r="AE23" s="13">
        <f>('TUSD BE'!$AI$23+'TUSD BF'!$AI$23+'TUSD CVA'!$AI$23)*(1 - 0.1)</f>
        <v>0</v>
      </c>
      <c r="AF23" s="13">
        <f ca="1">('TUSD BE'!$AJ$23+'TUSD BF'!$AJ$23+'TUSD CVA'!$AJ$23)*(1 - 0.1)</f>
        <v>0</v>
      </c>
      <c r="AG23" s="13">
        <f ca="1">('TUSD BE'!$AK$23+'TUSD BF'!$AK$23+'TUSD CVA'!$AK$23)*(1 - 0.1)</f>
        <v>0</v>
      </c>
      <c r="AI23" s="13">
        <v>0</v>
      </c>
      <c r="AJ23" s="13">
        <v>2.0141587889067698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93.245644090517203</v>
      </c>
      <c r="AV23" s="13">
        <v>0</v>
      </c>
      <c r="AW23" s="13">
        <v>0</v>
      </c>
      <c r="AX23" s="13">
        <v>315.81105673339903</v>
      </c>
      <c r="AY23" s="13">
        <v>0</v>
      </c>
      <c r="AZ23" s="13">
        <v>0</v>
      </c>
      <c r="BA23" s="13">
        <v>28.033574797339099</v>
      </c>
      <c r="BB23" s="13">
        <v>0</v>
      </c>
      <c r="BC23" s="13">
        <v>0</v>
      </c>
      <c r="BD23" s="13">
        <v>0</v>
      </c>
    </row>
    <row r="24" spans="1:56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>
        <f>('TUSD BE'!$L$24+'TUSD BF'!$L$24+'TUSD CVA'!$L$24)*1</f>
        <v>0</v>
      </c>
      <c r="M24" s="13">
        <f>('TUSD BE'!$M$24+'TUSD BF'!$M$24+'TUSD CVA'!$M$24)*1</f>
        <v>2.8225399242690159</v>
      </c>
      <c r="N24" s="13">
        <f ca="1">('TUSD BE'!$N$24+'TUSD BF'!$N$24+'TUSD CVA'!$N$24)*1</f>
        <v>0</v>
      </c>
      <c r="O24" s="13">
        <f>('TUSD BE'!$O$24+'TUSD BF'!$O$24+'TUSD CVA'!$O$24)*1</f>
        <v>0</v>
      </c>
      <c r="P24" s="13">
        <v>0</v>
      </c>
      <c r="Q24" s="13">
        <f>('TUSD BE'!$Q$24+'TUSD BF'!$Q$24+'TUSD CVA'!$Q$24)*1</f>
        <v>0</v>
      </c>
      <c r="R24" s="13">
        <v>0</v>
      </c>
      <c r="S24" s="13">
        <f>('TUSD BE'!$S$24+'TUSD BF'!$S$24+'TUSD CVA'!$S$24)*1</f>
        <v>0</v>
      </c>
      <c r="T24" s="13">
        <f>('TUSD BE'!$U$24+'TUSD BF'!$U$24+'TUSD CVA'!$U$24)*1</f>
        <v>0</v>
      </c>
      <c r="U24" s="13">
        <f>('TUSD BE'!$V$24+'TUSD BF'!$V$24+'TUSD CVA'!$V$24)*1</f>
        <v>0</v>
      </c>
      <c r="V24" s="13">
        <f>('TUSD BE'!$W$24+'TUSD BF'!$W$24+'TUSD CVA'!$W$24)*1</f>
        <v>0</v>
      </c>
      <c r="W24" s="13">
        <f>('TUSD BE'!$X$24+'TUSD BF'!$X$24+'TUSD CVA'!$X$24)*1</f>
        <v>0</v>
      </c>
      <c r="X24" s="13">
        <f>('TUSD BE'!$Y$24+'TUSD BF'!$Y$24+'TUSD CVA'!$Y$24)*1</f>
        <v>139.52242557919371</v>
      </c>
      <c r="Y24" s="13">
        <f>('TUSD BE'!$Z$24+'TUSD BF'!$Z$24+'TUSD CVA'!$Z$24)*1</f>
        <v>0</v>
      </c>
      <c r="Z24" s="13">
        <f>('TUSD BE'!$AA$24+'TUSD BF'!$AA$24+'TUSD CVA'!$AA$24)*1</f>
        <v>0</v>
      </c>
      <c r="AA24" s="13">
        <f>('TUSD BE'!$AC$24+'TUSD BF'!$AC$24+'TUSD CVA'!$AC$24)*1</f>
        <v>407.38451792005594</v>
      </c>
      <c r="AB24" s="13">
        <f ca="1">('TUSD BE'!$AE$24+'TUSD BF'!$AE$24+'TUSD CVA'!$AE$24)*1</f>
        <v>-10.723140178721646</v>
      </c>
      <c r="AC24" s="13">
        <f ca="1">('TUSD BE'!$AF$24+'TUSD BF'!$AF$24+'TUSD CVA'!$AF$24)*1</f>
        <v>0</v>
      </c>
      <c r="AD24" s="13">
        <f>('TUSD BE'!$AH$24+'TUSD BF'!$AH$24+'TUSD CVA'!$AH$24)*1</f>
        <v>24.409547874662014</v>
      </c>
      <c r="AE24" s="13">
        <f>('TUSD BE'!$AI$24+'TUSD BF'!$AI$24+'TUSD CVA'!$AI$24)*1</f>
        <v>0</v>
      </c>
      <c r="AF24" s="13">
        <f ca="1">('TUSD BE'!$AJ$24+'TUSD BF'!$AJ$24+'TUSD CVA'!$AJ$24)*1</f>
        <v>0</v>
      </c>
      <c r="AG24" s="13">
        <f ca="1">('TUSD BE'!$AK$24+'TUSD BF'!$AK$24+'TUSD CVA'!$AK$24)*1</f>
        <v>0</v>
      </c>
      <c r="AI24" s="13">
        <v>0</v>
      </c>
      <c r="AJ24" s="13">
        <v>2.2379542098964098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103.60627121168601</v>
      </c>
      <c r="AV24" s="13">
        <v>0</v>
      </c>
      <c r="AW24" s="13">
        <v>0</v>
      </c>
      <c r="AX24" s="13">
        <v>350.901174148221</v>
      </c>
      <c r="AY24" s="13">
        <v>0</v>
      </c>
      <c r="AZ24" s="13">
        <v>0</v>
      </c>
      <c r="BA24" s="13">
        <v>31.1484164414879</v>
      </c>
      <c r="BB24" s="13">
        <v>0</v>
      </c>
      <c r="BC24" s="13">
        <v>0</v>
      </c>
      <c r="BD24" s="13">
        <v>0</v>
      </c>
    </row>
    <row r="25" spans="1:56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>
        <f>('TUSD BE'!$L$25+'TUSD BF'!$L$25+'TUSD CVA'!$L$25)*1</f>
        <v>0</v>
      </c>
      <c r="M25" s="13">
        <f>('TUSD BE'!$M$25+'TUSD BF'!$M$25+'TUSD CVA'!$M$25)*1</f>
        <v>2.8225399242690159</v>
      </c>
      <c r="N25" s="13">
        <f ca="1">('TUSD BE'!$N$25+'TUSD BF'!$N$25+'TUSD CVA'!$N$25)*1</f>
        <v>0</v>
      </c>
      <c r="O25" s="13">
        <f>('TUSD BE'!$O$25+'TUSD BF'!$O$25+'TUSD CVA'!$O$25)*1</f>
        <v>0</v>
      </c>
      <c r="P25" s="13">
        <f>('TUSD BE'!$P$25+'TUSD BF'!$P$25+'TUSD CVA'!$P$25)*1</f>
        <v>0</v>
      </c>
      <c r="Q25" s="13">
        <f>('TUSD BE'!$Q$25+'TUSD BF'!$Q$25+'TUSD CVA'!$Q$25)*1</f>
        <v>93.450123036248542</v>
      </c>
      <c r="R25" s="13">
        <f>('TUSD BE'!$R$25+'TUSD BF'!$R$25+'TUSD CVA'!$R$25)*1</f>
        <v>14.71905371832413</v>
      </c>
      <c r="S25" s="13">
        <f>('TUSD BE'!$S$25+'TUSD BF'!$S$25+'TUSD CVA'!$S$25)*1</f>
        <v>0</v>
      </c>
      <c r="T25" s="13">
        <f>('TUSD BE'!$U$25+'TUSD BF'!$U$25+'TUSD CVA'!$U$25)*1</f>
        <v>0</v>
      </c>
      <c r="U25" s="13">
        <f>('TUSD BE'!$V$25+'TUSD BF'!$V$25+'TUSD CVA'!$V$25)*1</f>
        <v>0</v>
      </c>
      <c r="V25" s="13">
        <f>('TUSD BE'!$W$25+'TUSD BF'!$W$25+'TUSD CVA'!$W$25)*1</f>
        <v>0</v>
      </c>
      <c r="W25" s="13">
        <f>('TUSD BE'!$X$25+'TUSD BF'!$X$25+'TUSD CVA'!$X$25)*1</f>
        <v>0</v>
      </c>
      <c r="X25" s="13">
        <f>('TUSD BE'!$Y$25+'TUSD BF'!$Y$25+'TUSD CVA'!$Y$25)*1</f>
        <v>139.52242557919371</v>
      </c>
      <c r="Y25" s="13">
        <f>('TUSD BE'!$Z$25+'TUSD BF'!$Z$25+'TUSD CVA'!$Z$25)*1</f>
        <v>0</v>
      </c>
      <c r="Z25" s="13">
        <f>('TUSD BE'!$AA$25+'TUSD BF'!$AA$25+'TUSD CVA'!$AA$25)*1</f>
        <v>0</v>
      </c>
      <c r="AA25" s="13">
        <f>('TUSD BE'!$AC$25+'TUSD BF'!$AC$25+'TUSD CVA'!$AC$25)*1</f>
        <v>407.38451792005594</v>
      </c>
      <c r="AB25" s="13">
        <f ca="1">('TUSD BE'!$AE$25+'TUSD BF'!$AE$25+'TUSD CVA'!$AE$25)*1</f>
        <v>-12.223917326026106</v>
      </c>
      <c r="AC25" s="13">
        <f ca="1">('TUSD BE'!$AF$25+'TUSD BF'!$AF$25+'TUSD CVA'!$AF$25)*1</f>
        <v>0</v>
      </c>
      <c r="AD25" s="13">
        <f>('TUSD BE'!$AH$25+'TUSD BF'!$AH$25+'TUSD CVA'!$AH$25)*1</f>
        <v>24.409547874662014</v>
      </c>
      <c r="AE25" s="13">
        <f>('TUSD BE'!$AI$25+'TUSD BF'!$AI$25+'TUSD CVA'!$AI$25)*1</f>
        <v>0</v>
      </c>
      <c r="AF25" s="13">
        <f ca="1">('TUSD BE'!$AJ$25+'TUSD BF'!$AJ$25+'TUSD CVA'!$AJ$25)*1</f>
        <v>0</v>
      </c>
      <c r="AG25" s="13">
        <f ca="1">('TUSD BE'!$AK$25+'TUSD BF'!$AK$25+'TUSD CVA'!$AK$25)*1</f>
        <v>0</v>
      </c>
      <c r="AI25" s="13">
        <v>0</v>
      </c>
      <c r="AJ25" s="13">
        <v>2.2379542098964098</v>
      </c>
      <c r="AK25" s="13">
        <v>0</v>
      </c>
      <c r="AL25" s="13">
        <v>0</v>
      </c>
      <c r="AM25" s="13">
        <v>0</v>
      </c>
      <c r="AN25" s="13">
        <v>59.684186241334103</v>
      </c>
      <c r="AO25" s="13">
        <v>9.2650619448653906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103.60627121168601</v>
      </c>
      <c r="AV25" s="13">
        <v>0</v>
      </c>
      <c r="AW25" s="13">
        <v>0</v>
      </c>
      <c r="AX25" s="13">
        <v>350.901174148221</v>
      </c>
      <c r="AY25" s="13">
        <v>0</v>
      </c>
      <c r="AZ25" s="13">
        <v>0</v>
      </c>
      <c r="BA25" s="13">
        <v>31.1484164414879</v>
      </c>
      <c r="BB25" s="13">
        <v>0</v>
      </c>
      <c r="BC25" s="13">
        <v>0</v>
      </c>
      <c r="BD25" s="13">
        <v>0</v>
      </c>
    </row>
    <row r="26" spans="1:56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>
        <f>('TUSD BE'!$L$26+'TUSD BF'!$L$26+'TUSD CVA'!$L$26)*(1 - 0.65)</f>
        <v>0</v>
      </c>
      <c r="M26" s="13">
        <f>('TUSD BE'!$M$26+'TUSD BF'!$M$26+'TUSD CVA'!$M$26)*(1 - 0.65)</f>
        <v>0.9878889734941555</v>
      </c>
      <c r="N26" s="13">
        <f ca="1">('TUSD BE'!$N$26+'TUSD BF'!$N$26+'TUSD CVA'!$N$26)*(1 - 0.65)</f>
        <v>0</v>
      </c>
      <c r="O26" s="13">
        <f>('TUSD BE'!$O$26+'TUSD BF'!$O$26+'TUSD CVA'!$O$26)*(1 - 0.65)</f>
        <v>0</v>
      </c>
      <c r="P26" s="13">
        <v>0</v>
      </c>
      <c r="Q26" s="13">
        <f>('TUSD BE'!$Q$26+'TUSD BF'!$Q$26+'TUSD CVA'!$Q$26)*(1 - 0.65)</f>
        <v>0</v>
      </c>
      <c r="R26" s="13">
        <v>0</v>
      </c>
      <c r="S26" s="13">
        <f>('TUSD BE'!$S$26+'TUSD BF'!$S$26+'TUSD CVA'!$S$26)*(1 - 0.65)</f>
        <v>0</v>
      </c>
      <c r="T26" s="13">
        <f>('TUSD BE'!$U$26+'TUSD BF'!$U$26+'TUSD CVA'!$U$26)*(1 - 0.65)</f>
        <v>0</v>
      </c>
      <c r="U26" s="13">
        <f>('TUSD BE'!$V$26+'TUSD BF'!$V$26+'TUSD CVA'!$V$26)*(1 - 0.65)</f>
        <v>0</v>
      </c>
      <c r="V26" s="13">
        <f>('TUSD BE'!$W$26+'TUSD BF'!$W$26+'TUSD CVA'!$W$26)*(1 - 0.65)</f>
        <v>0</v>
      </c>
      <c r="W26" s="13">
        <f>('TUSD BE'!$X$26+'TUSD BF'!$X$26+'TUSD CVA'!$X$26)*(1 - 0.65)</f>
        <v>0</v>
      </c>
      <c r="X26" s="13">
        <f>('TUSD BE'!$Y$26+'TUSD BF'!$Y$26+'TUSD CVA'!$Y$26)*(1 - 0.65)</f>
        <v>48.832848952717796</v>
      </c>
      <c r="Y26" s="13">
        <f>('TUSD BE'!$Z$26+'TUSD BF'!$Z$26+'TUSD CVA'!$Z$26)*(1 - 0.65)</f>
        <v>0</v>
      </c>
      <c r="Z26" s="13">
        <f>('TUSD BE'!$AA$26+'TUSD BF'!$AA$26+'TUSD CVA'!$AA$26)*(1 - 0.65)</f>
        <v>0</v>
      </c>
      <c r="AA26" s="13">
        <f>('TUSD BE'!$AC$26+'TUSD BF'!$AC$26+'TUSD CVA'!$AC$26)*(1 - 0.65)</f>
        <v>142.58458127201956</v>
      </c>
      <c r="AB26" s="13">
        <f ca="1">('TUSD BE'!$AE$26+'TUSD BF'!$AE$26+'TUSD CVA'!$AE$26)*(1 - 0.65)</f>
        <v>-3.7530990625525757</v>
      </c>
      <c r="AC26" s="13">
        <f ca="1">('TUSD BE'!$AF$26+'TUSD BF'!$AF$26+'TUSD CVA'!$AF$26)*(1 - 0.65)</f>
        <v>0</v>
      </c>
      <c r="AD26" s="13">
        <f>('TUSD BE'!$AH$26+'TUSD BF'!$AH$26+'TUSD CVA'!$AH$26)*(1 - 0.65)</f>
        <v>8.5433417561317047</v>
      </c>
      <c r="AE26" s="13">
        <f>('TUSD BE'!$AI$26+'TUSD BF'!$AI$26+'TUSD CVA'!$AI$26)*(1 - 0.65)</f>
        <v>0</v>
      </c>
      <c r="AF26" s="13">
        <f ca="1">('TUSD BE'!$AJ$26+'TUSD BF'!$AJ$26+'TUSD CVA'!$AJ$26)*(1 - 0.65)</f>
        <v>0</v>
      </c>
      <c r="AG26" s="13">
        <f ca="1">('TUSD BE'!$AK$26+'TUSD BF'!$AK$26+'TUSD CVA'!$AK$26)*(1 - 0.65)</f>
        <v>0</v>
      </c>
      <c r="AI26" s="13">
        <v>0</v>
      </c>
      <c r="AJ26" s="13">
        <v>0.78328397346374401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36.262194924089997</v>
      </c>
      <c r="AV26" s="13">
        <v>0</v>
      </c>
      <c r="AW26" s="13">
        <v>0</v>
      </c>
      <c r="AX26" s="13">
        <v>122.815410951877</v>
      </c>
      <c r="AY26" s="13">
        <v>0</v>
      </c>
      <c r="AZ26" s="13">
        <v>0</v>
      </c>
      <c r="BA26" s="13">
        <v>10.901945754520799</v>
      </c>
      <c r="BB26" s="13">
        <v>0</v>
      </c>
      <c r="BC26" s="13">
        <v>0</v>
      </c>
      <c r="BD26" s="13">
        <v>0</v>
      </c>
    </row>
    <row r="27" spans="1:56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>
        <f>('TUSD BE'!$L$27+'TUSD BF'!$L$27+'TUSD CVA'!$L$27)*(1 - 0.4)</f>
        <v>0</v>
      </c>
      <c r="M27" s="13">
        <f>('TUSD BE'!$M$27+'TUSD BF'!$M$27+'TUSD CVA'!$M$27)*(1 - 0.4)</f>
        <v>1.6935239545614096</v>
      </c>
      <c r="N27" s="13">
        <f ca="1">('TUSD BE'!$N$27+'TUSD BF'!$N$27+'TUSD CVA'!$N$27)*(1 - 0.4)</f>
        <v>0</v>
      </c>
      <c r="O27" s="13">
        <f>('TUSD BE'!$O$27+'TUSD BF'!$O$27+'TUSD CVA'!$O$27)*(1 - 0.4)</f>
        <v>0</v>
      </c>
      <c r="P27" s="13">
        <v>0</v>
      </c>
      <c r="Q27" s="13">
        <f>('TUSD BE'!$Q$27+'TUSD BF'!$Q$27+'TUSD CVA'!$Q$27)*(1 - 0.4)</f>
        <v>0</v>
      </c>
      <c r="R27" s="13">
        <v>0</v>
      </c>
      <c r="S27" s="13">
        <f>('TUSD BE'!$S$27+'TUSD BF'!$S$27+'TUSD CVA'!$S$27)*(1 - 0.4)</f>
        <v>0</v>
      </c>
      <c r="T27" s="13">
        <f>('TUSD BE'!$U$27+'TUSD BF'!$U$27+'TUSD CVA'!$U$27)*(1 - 0.4)</f>
        <v>0</v>
      </c>
      <c r="U27" s="13">
        <f>('TUSD BE'!$V$27+'TUSD BF'!$V$27+'TUSD CVA'!$V$27)*(1 - 0.4)</f>
        <v>0</v>
      </c>
      <c r="V27" s="13">
        <f>('TUSD BE'!$W$27+'TUSD BF'!$W$27+'TUSD CVA'!$W$27)*(1 - 0.4)</f>
        <v>0</v>
      </c>
      <c r="W27" s="13">
        <f>('TUSD BE'!$X$27+'TUSD BF'!$X$27+'TUSD CVA'!$X$27)*(1 - 0.4)</f>
        <v>0</v>
      </c>
      <c r="X27" s="13">
        <f>('TUSD BE'!$Y$27+'TUSD BF'!$Y$27+'TUSD CVA'!$Y$27)*(1 - 0.4)</f>
        <v>83.713455347516216</v>
      </c>
      <c r="Y27" s="13">
        <f>('TUSD BE'!$Z$27+'TUSD BF'!$Z$27+'TUSD CVA'!$Z$27)*(1 - 0.4)</f>
        <v>0</v>
      </c>
      <c r="Z27" s="13">
        <f>('TUSD BE'!$AA$27+'TUSD BF'!$AA$27+'TUSD CVA'!$AA$27)*(1 - 0.4)</f>
        <v>0</v>
      </c>
      <c r="AA27" s="13">
        <f>('TUSD BE'!$AC$27+'TUSD BF'!$AC$27+'TUSD CVA'!$AC$27)*(1 - 0.4)</f>
        <v>244.43071075203355</v>
      </c>
      <c r="AB27" s="13">
        <f ca="1">('TUSD BE'!$AE$27+'TUSD BF'!$AE$27+'TUSD CVA'!$AE$27)*(1 - 0.4)</f>
        <v>-6.4338841072329878</v>
      </c>
      <c r="AC27" s="13">
        <f ca="1">('TUSD BE'!$AF$27+'TUSD BF'!$AF$27+'TUSD CVA'!$AF$27)*(1 - 0.4)</f>
        <v>0</v>
      </c>
      <c r="AD27" s="13">
        <f>('TUSD BE'!$AH$27+'TUSD BF'!$AH$27+'TUSD CVA'!$AH$27)*(1 - 0.4)</f>
        <v>14.645728724797207</v>
      </c>
      <c r="AE27" s="13">
        <f>('TUSD BE'!$AI$27+'TUSD BF'!$AI$27+'TUSD CVA'!$AI$27)*(1 - 0.4)</f>
        <v>0</v>
      </c>
      <c r="AF27" s="13">
        <f ca="1">('TUSD BE'!$AJ$27+'TUSD BF'!$AJ$27+'TUSD CVA'!$AJ$27)*(1 - 0.4)</f>
        <v>0</v>
      </c>
      <c r="AG27" s="13">
        <f ca="1">('TUSD BE'!$AK$27+'TUSD BF'!$AK$27+'TUSD CVA'!$AK$27)*(1 - 0.4)</f>
        <v>0</v>
      </c>
      <c r="AI27" s="13">
        <v>0</v>
      </c>
      <c r="AJ27" s="13">
        <v>1.34277252593785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62.163762727011402</v>
      </c>
      <c r="AV27" s="13">
        <v>0</v>
      </c>
      <c r="AW27" s="13">
        <v>0</v>
      </c>
      <c r="AX27" s="13">
        <v>210.54070448893199</v>
      </c>
      <c r="AY27" s="13">
        <v>0</v>
      </c>
      <c r="AZ27" s="13">
        <v>0</v>
      </c>
      <c r="BA27" s="13">
        <v>18.689049864892699</v>
      </c>
      <c r="BB27" s="13">
        <v>0</v>
      </c>
      <c r="BC27" s="13">
        <v>0</v>
      </c>
      <c r="BD27" s="13">
        <v>0</v>
      </c>
    </row>
    <row r="28" spans="1:56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>
        <f>('TUSD BE'!$L$28+'TUSD BF'!$L$28+'TUSD CVA'!$L$28)*(1 - 0.1)</f>
        <v>0</v>
      </c>
      <c r="M28" s="13">
        <f>('TUSD BE'!$M$28+'TUSD BF'!$M$28+'TUSD CVA'!$M$28)*(1 - 0.1)</f>
        <v>2.5402859318421145</v>
      </c>
      <c r="N28" s="13">
        <f ca="1">('TUSD BE'!$N$28+'TUSD BF'!$N$28+'TUSD CVA'!$N$28)*(1 - 0.1)</f>
        <v>0</v>
      </c>
      <c r="O28" s="13">
        <f>('TUSD BE'!$O$28+'TUSD BF'!$O$28+'TUSD CVA'!$O$28)*(1 - 0.1)</f>
        <v>0</v>
      </c>
      <c r="P28" s="13">
        <v>0</v>
      </c>
      <c r="Q28" s="13">
        <f>('TUSD BE'!$Q$28+'TUSD BF'!$Q$28+'TUSD CVA'!$Q$28)*(1 - 0.1)</f>
        <v>0</v>
      </c>
      <c r="R28" s="13">
        <v>0</v>
      </c>
      <c r="S28" s="13">
        <f>('TUSD BE'!$S$28+'TUSD BF'!$S$28+'TUSD CVA'!$S$28)*(1 - 0.1)</f>
        <v>0</v>
      </c>
      <c r="T28" s="13">
        <f>('TUSD BE'!$U$28+'TUSD BF'!$U$28+'TUSD CVA'!$U$28)*(1 - 0.1)</f>
        <v>0</v>
      </c>
      <c r="U28" s="13">
        <f>('TUSD BE'!$V$28+'TUSD BF'!$V$28+'TUSD CVA'!$V$28)*(1 - 0.1)</f>
        <v>0</v>
      </c>
      <c r="V28" s="13">
        <f>('TUSD BE'!$W$28+'TUSD BF'!$W$28+'TUSD CVA'!$W$28)*(1 - 0.1)</f>
        <v>0</v>
      </c>
      <c r="W28" s="13">
        <f>('TUSD BE'!$X$28+'TUSD BF'!$X$28+'TUSD CVA'!$X$28)*(1 - 0.1)</f>
        <v>0</v>
      </c>
      <c r="X28" s="13">
        <f>('TUSD BE'!$Y$28+'TUSD BF'!$Y$28+'TUSD CVA'!$Y$28)*(1 - 0.1)</f>
        <v>125.57018302127435</v>
      </c>
      <c r="Y28" s="13">
        <f>('TUSD BE'!$Z$28+'TUSD BF'!$Z$28+'TUSD CVA'!$Z$28)*(1 - 0.1)</f>
        <v>0</v>
      </c>
      <c r="Z28" s="13">
        <f>('TUSD BE'!$AA$28+'TUSD BF'!$AA$28+'TUSD CVA'!$AA$28)*(1 - 0.1)</f>
        <v>0</v>
      </c>
      <c r="AA28" s="13">
        <f>('TUSD BE'!$AC$28+'TUSD BF'!$AC$28+'TUSD CVA'!$AC$28)*(1 - 0.1)</f>
        <v>366.64606612805034</v>
      </c>
      <c r="AB28" s="13">
        <f ca="1">('TUSD BE'!$AE$28+'TUSD BF'!$AE$28+'TUSD CVA'!$AE$28)*(1 - 0.1)</f>
        <v>-9.6508261608494816</v>
      </c>
      <c r="AC28" s="13">
        <f ca="1">('TUSD BE'!$AF$28+'TUSD BF'!$AF$28+'TUSD CVA'!$AF$28)*(1 - 0.1)</f>
        <v>0</v>
      </c>
      <c r="AD28" s="13">
        <f>('TUSD BE'!$AH$28+'TUSD BF'!$AH$28+'TUSD CVA'!$AH$28)*(1 - 0.1)</f>
        <v>21.968593087195813</v>
      </c>
      <c r="AE28" s="13">
        <f>('TUSD BE'!$AI$28+'TUSD BF'!$AI$28+'TUSD CVA'!$AI$28)*(1 - 0.1)</f>
        <v>0</v>
      </c>
      <c r="AF28" s="13">
        <f ca="1">('TUSD BE'!$AJ$28+'TUSD BF'!$AJ$28+'TUSD CVA'!$AJ$28)*(1 - 0.1)</f>
        <v>0</v>
      </c>
      <c r="AG28" s="13">
        <f ca="1">('TUSD BE'!$AK$28+'TUSD BF'!$AK$28+'TUSD CVA'!$AK$28)*(1 - 0.1)</f>
        <v>0</v>
      </c>
      <c r="AI28" s="13">
        <v>0</v>
      </c>
      <c r="AJ28" s="13">
        <v>2.0141587889067698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93.245644090517203</v>
      </c>
      <c r="AV28" s="13">
        <v>0</v>
      </c>
      <c r="AW28" s="13">
        <v>0</v>
      </c>
      <c r="AX28" s="13">
        <v>315.81105673339903</v>
      </c>
      <c r="AY28" s="13">
        <v>0</v>
      </c>
      <c r="AZ28" s="13">
        <v>0</v>
      </c>
      <c r="BA28" s="13">
        <v>28.033574797339099</v>
      </c>
      <c r="BB28" s="13">
        <v>0</v>
      </c>
      <c r="BC28" s="13">
        <v>0</v>
      </c>
      <c r="BD28" s="13">
        <v>0</v>
      </c>
    </row>
    <row r="29" spans="1:56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>
        <f>('TUSD BE'!$L$29+'TUSD BF'!$L$29+'TUSD CVA'!$L$29)*1</f>
        <v>0</v>
      </c>
      <c r="M29" s="13">
        <f>('TUSD BE'!$M$29+'TUSD BF'!$M$29+'TUSD CVA'!$M$29)*1</f>
        <v>2.8225399242690159</v>
      </c>
      <c r="N29" s="13">
        <f ca="1">('TUSD BE'!$N$29+'TUSD BF'!$N$29+'TUSD CVA'!$N$29)*1</f>
        <v>0</v>
      </c>
      <c r="O29" s="13">
        <f>('TUSD BE'!$O$29+'TUSD BF'!$O$29+'TUSD CVA'!$O$29)*1</f>
        <v>0</v>
      </c>
      <c r="P29" s="13">
        <v>0</v>
      </c>
      <c r="Q29" s="13">
        <f>('TUSD BE'!$Q$29+'TUSD BF'!$Q$29+'TUSD CVA'!$Q$29)*1</f>
        <v>0</v>
      </c>
      <c r="R29" s="13">
        <v>0</v>
      </c>
      <c r="S29" s="13">
        <f>('TUSD BE'!$S$29+'TUSD BF'!$S$29+'TUSD CVA'!$S$29)*1</f>
        <v>0</v>
      </c>
      <c r="T29" s="13">
        <f>('TUSD BE'!$U$29+'TUSD BF'!$U$29+'TUSD CVA'!$U$29)*1</f>
        <v>0</v>
      </c>
      <c r="U29" s="13">
        <f>('TUSD BE'!$V$29+'TUSD BF'!$V$29+'TUSD CVA'!$V$29)*1</f>
        <v>0</v>
      </c>
      <c r="V29" s="13">
        <f>('TUSD BE'!$W$29+'TUSD BF'!$W$29+'TUSD CVA'!$W$29)*1</f>
        <v>0</v>
      </c>
      <c r="W29" s="13">
        <f>('TUSD BE'!$X$29+'TUSD BF'!$X$29+'TUSD CVA'!$X$29)*1</f>
        <v>0</v>
      </c>
      <c r="X29" s="13">
        <f>('TUSD BE'!$Y$29+'TUSD BF'!$Y$29+'TUSD CVA'!$Y$29)*1</f>
        <v>139.52242557919371</v>
      </c>
      <c r="Y29" s="13">
        <f>('TUSD BE'!$Z$29+'TUSD BF'!$Z$29+'TUSD CVA'!$Z$29)*1</f>
        <v>0</v>
      </c>
      <c r="Z29" s="13">
        <f>('TUSD BE'!$AA$29+'TUSD BF'!$AA$29+'TUSD CVA'!$AA$29)*1</f>
        <v>0</v>
      </c>
      <c r="AA29" s="13">
        <f>('TUSD BE'!$AC$29+'TUSD BF'!$AC$29+'TUSD CVA'!$AC$29)*1</f>
        <v>407.38451792005594</v>
      </c>
      <c r="AB29" s="13">
        <f ca="1">('TUSD BE'!$AE$29+'TUSD BF'!$AE$29+'TUSD CVA'!$AE$29)*1</f>
        <v>-10.723140178721646</v>
      </c>
      <c r="AC29" s="13">
        <f ca="1">('TUSD BE'!$AF$29+'TUSD BF'!$AF$29+'TUSD CVA'!$AF$29)*1</f>
        <v>0</v>
      </c>
      <c r="AD29" s="13">
        <f>('TUSD BE'!$AH$29+'TUSD BF'!$AH$29+'TUSD CVA'!$AH$29)*1</f>
        <v>24.409547874662014</v>
      </c>
      <c r="AE29" s="13">
        <f>('TUSD BE'!$AI$29+'TUSD BF'!$AI$29+'TUSD CVA'!$AI$29)*1</f>
        <v>0</v>
      </c>
      <c r="AF29" s="13">
        <f ca="1">('TUSD BE'!$AJ$29+'TUSD BF'!$AJ$29+'TUSD CVA'!$AJ$29)*1</f>
        <v>0</v>
      </c>
      <c r="AG29" s="13">
        <f ca="1">('TUSD BE'!$AK$29+'TUSD BF'!$AK$29+'TUSD CVA'!$AK$29)*1</f>
        <v>0</v>
      </c>
      <c r="AI29" s="13">
        <v>0</v>
      </c>
      <c r="AJ29" s="13">
        <v>2.2379542098964098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103.60627121168601</v>
      </c>
      <c r="AV29" s="13">
        <v>0</v>
      </c>
      <c r="AW29" s="13">
        <v>0</v>
      </c>
      <c r="AX29" s="13">
        <v>350.901174148221</v>
      </c>
      <c r="AY29" s="13">
        <v>0</v>
      </c>
      <c r="AZ29" s="13">
        <v>0</v>
      </c>
      <c r="BA29" s="13">
        <v>31.1484164414879</v>
      </c>
      <c r="BB29" s="13">
        <v>0</v>
      </c>
      <c r="BC29" s="13">
        <v>0</v>
      </c>
      <c r="BD29" s="13">
        <v>0</v>
      </c>
    </row>
    <row r="30" spans="1:56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>
        <f>('TUSD BE'!$L$30+'TUSD BF'!$L$30+'TUSD CVA'!$L$30)*(1 - CUSTOS!$M$38)</f>
        <v>0</v>
      </c>
      <c r="M30" s="13">
        <f>('TUSD BE'!$M$30+'TUSD BF'!$M$30+'TUSD CVA'!$M$30)*(1 - CUSTOS!$M$38)</f>
        <v>2.6531875288128748</v>
      </c>
      <c r="N30" s="13">
        <f ca="1">('TUSD BE'!$N$30+'TUSD BF'!$N$30+'TUSD CVA'!$N$30)*(1 - CUSTOS!$M$38)</f>
        <v>0</v>
      </c>
      <c r="O30" s="13">
        <f>('TUSD BE'!$O$30+'TUSD BF'!$O$30+'TUSD CVA'!$O$30)*(1 - CUSTOS!$M$38)</f>
        <v>0</v>
      </c>
      <c r="P30" s="13">
        <f>('TUSD BE'!$P$30+'TUSD BF'!$P$30+'TUSD CVA'!$P$30)*(1 - CUSTOS!$M$38)</f>
        <v>0</v>
      </c>
      <c r="Q30" s="13">
        <f>('TUSD BE'!$Q$30+'TUSD BF'!$Q$30+'TUSD CVA'!$Q$30)*(1 - CUSTOS!$M$38)</f>
        <v>87.843115654073628</v>
      </c>
      <c r="R30" s="13">
        <f>('TUSD BE'!$R$30+'TUSD BF'!$R$30+'TUSD CVA'!$R$30)*(1 - CUSTOS!$M$38)</f>
        <v>13.835910495224681</v>
      </c>
      <c r="S30" s="13">
        <f>('TUSD BE'!$S$30+'TUSD BF'!$S$30+'TUSD CVA'!$S$30)*(1 - CUSTOS!$M$38)</f>
        <v>0</v>
      </c>
      <c r="T30" s="13">
        <f>('TUSD BE'!$U$30+'TUSD BF'!$U$30+'TUSD CVA'!$U$30)*(1 - CUSTOS!$M$38)</f>
        <v>0</v>
      </c>
      <c r="U30" s="13">
        <f>('TUSD BE'!$V$30+'TUSD BF'!$V$30+'TUSD CVA'!$V$30)*(1 - CUSTOS!$M$38)</f>
        <v>0</v>
      </c>
      <c r="V30" s="13">
        <f>('TUSD BE'!$W$30+'TUSD BF'!$W$30+'TUSD CVA'!$W$30)*(1 - CUSTOS!$M$38)</f>
        <v>0</v>
      </c>
      <c r="W30" s="13">
        <f>('TUSD BE'!$X$30+'TUSD BF'!$X$30+'TUSD CVA'!$X$30)*(1 - CUSTOS!$M$38)</f>
        <v>0</v>
      </c>
      <c r="X30" s="13">
        <f>('TUSD BE'!$Y$30+'TUSD BF'!$Y$30+'TUSD CVA'!$Y$30)*(1 - CUSTOS!$M$38)</f>
        <v>445.79552612934225</v>
      </c>
      <c r="Y30" s="13">
        <f>('TUSD BE'!$Z$30+'TUSD BF'!$Z$30+'TUSD CVA'!$Z$30)*(1 - CUSTOS!$M$38)</f>
        <v>0</v>
      </c>
      <c r="Z30" s="13">
        <f>('TUSD BE'!$AA$30+'TUSD BF'!$AA$30+'TUSD CVA'!$AA$30)*(1 - CUSTOS!$M$38)</f>
        <v>0</v>
      </c>
      <c r="AA30" s="13">
        <f>('TUSD BE'!$AC$30+'TUSD BF'!$AC$30+'TUSD CVA'!$AC$30)*(1 - CUSTOS!$M$38)</f>
        <v>1302.0011345086355</v>
      </c>
      <c r="AB30" s="13">
        <f ca="1">('TUSD BE'!$AE$30+'TUSD BF'!$AE$30+'TUSD CVA'!$AE$30)*(1 - CUSTOS!$M$38)</f>
        <v>-34.800395111503889</v>
      </c>
      <c r="AC30" s="13">
        <f ca="1">('TUSD BE'!$AF$30+'TUSD BF'!$AF$30+'TUSD CVA'!$AF$30)*(1 - CUSTOS!$M$38)</f>
        <v>0</v>
      </c>
      <c r="AD30" s="13">
        <f>('TUSD BE'!$AH$30+'TUSD BF'!$AH$30+'TUSD CVA'!$AH$30)*(1 - CUSTOS!$M$38)</f>
        <v>22.944975002182293</v>
      </c>
      <c r="AE30" s="13">
        <f>('TUSD BE'!$AI$30+'TUSD BF'!$AI$30+'TUSD CVA'!$AI$30)*(1 - CUSTOS!$M$38)</f>
        <v>0</v>
      </c>
      <c r="AF30" s="13">
        <f ca="1">('TUSD BE'!$AJ$30+'TUSD BF'!$AJ$30+'TUSD CVA'!$AJ$30)*(1 - CUSTOS!$M$38)</f>
        <v>0</v>
      </c>
      <c r="AG30" s="13">
        <f ca="1">('TUSD BE'!$AK$30+'TUSD BF'!$AK$30+'TUSD CVA'!$AK$30)*(1 - CUSTOS!$M$38)</f>
        <v>0</v>
      </c>
      <c r="AI30" s="13">
        <v>0</v>
      </c>
      <c r="AJ30" s="13">
        <v>1.9693997047088401</v>
      </c>
      <c r="AK30" s="13">
        <v>0</v>
      </c>
      <c r="AL30" s="13">
        <v>0</v>
      </c>
      <c r="AM30" s="13">
        <v>0</v>
      </c>
      <c r="AN30" s="13">
        <v>52.522083892373999</v>
      </c>
      <c r="AO30" s="13">
        <v>8.1532545114815402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309.90795254596799</v>
      </c>
      <c r="AV30" s="13">
        <v>0</v>
      </c>
      <c r="AW30" s="13">
        <v>0</v>
      </c>
      <c r="AX30" s="13">
        <v>1049.8964933106399</v>
      </c>
      <c r="AY30" s="13">
        <v>0</v>
      </c>
      <c r="AZ30" s="13">
        <v>0</v>
      </c>
      <c r="BA30" s="13">
        <v>27.4106064685094</v>
      </c>
      <c r="BB30" s="13">
        <v>0</v>
      </c>
      <c r="BC30" s="13">
        <v>0</v>
      </c>
      <c r="BD30" s="13">
        <v>0</v>
      </c>
    </row>
    <row r="31" spans="1:56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>
        <f>('TUSD BE'!$L$31+'TUSD BF'!$L$31+'TUSD CVA'!$L$31)*(1 - CUSTOS!$M$38)</f>
        <v>0</v>
      </c>
      <c r="M31" s="13">
        <f>('TUSD BE'!$M$31+'TUSD BF'!$M$31+'TUSD CVA'!$M$31)*(1 - CUSTOS!$M$38)</f>
        <v>2.6531875288128748</v>
      </c>
      <c r="N31" s="13">
        <f ca="1">('TUSD BE'!$N$31+'TUSD BF'!$N$31+'TUSD CVA'!$N$31)*(1 - CUSTOS!$M$38)</f>
        <v>0</v>
      </c>
      <c r="O31" s="13">
        <f>('TUSD BE'!$O$31+'TUSD BF'!$O$31+'TUSD CVA'!$O$31)*(1 - CUSTOS!$M$38)</f>
        <v>0</v>
      </c>
      <c r="P31" s="13">
        <f>('TUSD BE'!$P$31+'TUSD BF'!$P$31+'TUSD CVA'!$P$31)*(1 - CUSTOS!$M$38)</f>
        <v>0</v>
      </c>
      <c r="Q31" s="13">
        <f>('TUSD BE'!$Q$31+'TUSD BF'!$Q$31+'TUSD CVA'!$Q$31)*(1 - CUSTOS!$M$38)</f>
        <v>87.843115654073628</v>
      </c>
      <c r="R31" s="13">
        <f>('TUSD BE'!$R$31+'TUSD BF'!$R$31+'TUSD CVA'!$R$31)*(1 - CUSTOS!$M$38)</f>
        <v>13.835910495224681</v>
      </c>
      <c r="S31" s="13">
        <f>('TUSD BE'!$S$31+'TUSD BF'!$S$31+'TUSD CVA'!$S$31)*(1 - CUSTOS!$M$38)</f>
        <v>0</v>
      </c>
      <c r="T31" s="13">
        <f>('TUSD BE'!$U$31+'TUSD BF'!$U$31+'TUSD CVA'!$U$31)*(1 - CUSTOS!$M$38)</f>
        <v>0</v>
      </c>
      <c r="U31" s="13">
        <f>('TUSD BE'!$V$31+'TUSD BF'!$V$31+'TUSD CVA'!$V$31)*(1 - CUSTOS!$M$38)</f>
        <v>0</v>
      </c>
      <c r="V31" s="13">
        <f>('TUSD BE'!$W$31+'TUSD BF'!$W$31+'TUSD CVA'!$W$31)*(1 - CUSTOS!$M$38)</f>
        <v>0</v>
      </c>
      <c r="W31" s="13">
        <f>('TUSD BE'!$X$31+'TUSD BF'!$X$31+'TUSD CVA'!$X$31)*(1 - CUSTOS!$M$38)</f>
        <v>0</v>
      </c>
      <c r="X31" s="13">
        <f>('TUSD BE'!$Y$31+'TUSD BF'!$Y$31+'TUSD CVA'!$Y$31)*(1 - CUSTOS!$M$38)</f>
        <v>267.48907030718158</v>
      </c>
      <c r="Y31" s="13">
        <f>('TUSD BE'!$Z$31+'TUSD BF'!$Z$31+'TUSD CVA'!$Z$31)*(1 - CUSTOS!$M$38)</f>
        <v>0</v>
      </c>
      <c r="Z31" s="13">
        <f>('TUSD BE'!$AA$31+'TUSD BF'!$AA$31+'TUSD CVA'!$AA$31)*(1 - CUSTOS!$M$38)</f>
        <v>0</v>
      </c>
      <c r="AA31" s="13">
        <f>('TUSD BE'!$AC$31+'TUSD BF'!$AC$31+'TUSD CVA'!$AC$31)*(1 - CUSTOS!$M$38)</f>
        <v>781.20048084305438</v>
      </c>
      <c r="AB31" s="13">
        <f ca="1">('TUSD BE'!$AE$31+'TUSD BF'!$AE$31+'TUSD CVA'!$AE$31)*(1 - CUSTOS!$M$38)</f>
        <v>-21.591324033804852</v>
      </c>
      <c r="AC31" s="13">
        <f ca="1">('TUSD BE'!$AF$31+'TUSD BF'!$AF$31+'TUSD CVA'!$AF$31)*(1 - CUSTOS!$M$38)</f>
        <v>0</v>
      </c>
      <c r="AD31" s="13">
        <f>('TUSD BE'!$AH$31+'TUSD BF'!$AH$31+'TUSD CVA'!$AH$31)*(1 - CUSTOS!$M$38)</f>
        <v>22.944975002182293</v>
      </c>
      <c r="AE31" s="13">
        <f>('TUSD BE'!$AI$31+'TUSD BF'!$AI$31+'TUSD CVA'!$AI$31)*(1 - CUSTOS!$M$38)</f>
        <v>0</v>
      </c>
      <c r="AF31" s="13">
        <f ca="1">('TUSD BE'!$AJ$31+'TUSD BF'!$AJ$31+'TUSD CVA'!$AJ$31)*(1 - CUSTOS!$M$38)</f>
        <v>0</v>
      </c>
      <c r="AG31" s="13">
        <f ca="1">('TUSD BE'!$AK$31+'TUSD BF'!$AK$31+'TUSD CVA'!$AK$31)*(1 - CUSTOS!$M$38)</f>
        <v>0</v>
      </c>
      <c r="AI31" s="13">
        <v>0</v>
      </c>
      <c r="AJ31" s="13">
        <v>1.9693997047088401</v>
      </c>
      <c r="AK31" s="13">
        <v>0</v>
      </c>
      <c r="AL31" s="13">
        <v>0</v>
      </c>
      <c r="AM31" s="13">
        <v>0</v>
      </c>
      <c r="AN31" s="13">
        <v>52.522083892373999</v>
      </c>
      <c r="AO31" s="13">
        <v>8.1532545114815402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185.95294691076799</v>
      </c>
      <c r="AV31" s="13">
        <v>0</v>
      </c>
      <c r="AW31" s="13">
        <v>0</v>
      </c>
      <c r="AX31" s="13">
        <v>629.93777119157801</v>
      </c>
      <c r="AY31" s="13">
        <v>0</v>
      </c>
      <c r="AZ31" s="13">
        <v>0</v>
      </c>
      <c r="BA31" s="13">
        <v>27.4106064685094</v>
      </c>
      <c r="BB31" s="13">
        <v>0</v>
      </c>
      <c r="BC31" s="13">
        <v>0</v>
      </c>
      <c r="BD31" s="13">
        <v>0</v>
      </c>
    </row>
    <row r="32" spans="1:56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>
        <f>('TUSD BE'!$L$32+'TUSD BF'!$L$32+'TUSD CVA'!$L$32)*(1 - CUSTOS!$M$38)</f>
        <v>0</v>
      </c>
      <c r="M32" s="13">
        <f>('TUSD BE'!$M$32+'TUSD BF'!$M$32+'TUSD CVA'!$M$32)*(1 - CUSTOS!$M$38)</f>
        <v>2.6531875288128748</v>
      </c>
      <c r="N32" s="13">
        <f ca="1">('TUSD BE'!$N$32+'TUSD BF'!$N$32+'TUSD CVA'!$N$32)*(1 - CUSTOS!$M$38)</f>
        <v>0</v>
      </c>
      <c r="O32" s="13">
        <f>('TUSD BE'!$O$32+'TUSD BF'!$O$32+'TUSD CVA'!$O$32)*(1 - CUSTOS!$M$38)</f>
        <v>0</v>
      </c>
      <c r="P32" s="13">
        <f>('TUSD BE'!$P$32+'TUSD BF'!$P$32+'TUSD CVA'!$P$32)*(1 - CUSTOS!$M$38)</f>
        <v>0</v>
      </c>
      <c r="Q32" s="13">
        <f>('TUSD BE'!$Q$32+'TUSD BF'!$Q$32+'TUSD CVA'!$Q$32)*(1 - CUSTOS!$M$38)</f>
        <v>87.843115654073628</v>
      </c>
      <c r="R32" s="13">
        <f>('TUSD BE'!$R$32+'TUSD BF'!$R$32+'TUSD CVA'!$R$32)*(1 - CUSTOS!$M$38)</f>
        <v>13.835910495224681</v>
      </c>
      <c r="S32" s="13">
        <f>('TUSD BE'!$S$32+'TUSD BF'!$S$32+'TUSD CVA'!$S$32)*(1 - CUSTOS!$M$38)</f>
        <v>0</v>
      </c>
      <c r="T32" s="13">
        <f>('TUSD BE'!$U$32+'TUSD BF'!$U$32+'TUSD CVA'!$U$32)*(1 - CUSTOS!$M$38)</f>
        <v>0</v>
      </c>
      <c r="U32" s="13">
        <f>('TUSD BE'!$V$32+'TUSD BF'!$V$32+'TUSD CVA'!$V$32)*(1 - CUSTOS!$M$38)</f>
        <v>0</v>
      </c>
      <c r="V32" s="13">
        <f>('TUSD BE'!$W$32+'TUSD BF'!$W$32+'TUSD CVA'!$W$32)*(1 - CUSTOS!$M$38)</f>
        <v>0</v>
      </c>
      <c r="W32" s="13">
        <f>('TUSD BE'!$X$32+'TUSD BF'!$X$32+'TUSD CVA'!$X$32)*(1 - CUSTOS!$M$38)</f>
        <v>0</v>
      </c>
      <c r="X32" s="13">
        <f>('TUSD BE'!$Y$32+'TUSD BF'!$Y$32+'TUSD CVA'!$Y$32)*(1 - CUSTOS!$M$38)</f>
        <v>89.182614485020864</v>
      </c>
      <c r="Y32" s="13">
        <f>('TUSD BE'!$Z$32+'TUSD BF'!$Z$32+'TUSD CVA'!$Z$32)*(1 - CUSTOS!$M$38)</f>
        <v>0</v>
      </c>
      <c r="Z32" s="13">
        <f>('TUSD BE'!$AA$32+'TUSD BF'!$AA$32+'TUSD CVA'!$AA$32)*(1 - CUSTOS!$M$38)</f>
        <v>0</v>
      </c>
      <c r="AA32" s="13">
        <f>('TUSD BE'!$AC$32+'TUSD BF'!$AC$32+'TUSD CVA'!$AC$32)*(1 - CUSTOS!$M$38)</f>
        <v>260.40028839776613</v>
      </c>
      <c r="AB32" s="13">
        <f ca="1">('TUSD BE'!$AE$32+'TUSD BF'!$AE$32+'TUSD CVA'!$AE$32)*(1 - CUSTOS!$M$38)</f>
        <v>-8.3822623232104494</v>
      </c>
      <c r="AC32" s="13">
        <f ca="1">('TUSD BE'!$AF$32+'TUSD BF'!$AF$32+'TUSD CVA'!$AF$32)*(1 - CUSTOS!$M$38)</f>
        <v>0</v>
      </c>
      <c r="AD32" s="13">
        <f>('TUSD BE'!$AH$32+'TUSD BF'!$AH$32+'TUSD CVA'!$AH$32)*(1 - CUSTOS!$M$38)</f>
        <v>22.944975002182293</v>
      </c>
      <c r="AE32" s="13">
        <f>('TUSD BE'!$AI$32+'TUSD BF'!$AI$32+'TUSD CVA'!$AI$32)*(1 - CUSTOS!$M$38)</f>
        <v>0</v>
      </c>
      <c r="AF32" s="13">
        <f ca="1">('TUSD BE'!$AJ$32+'TUSD BF'!$AJ$32+'TUSD CVA'!$AJ$32)*(1 - CUSTOS!$M$38)</f>
        <v>0</v>
      </c>
      <c r="AG32" s="13">
        <f ca="1">('TUSD BE'!$AK$32+'TUSD BF'!$AK$32+'TUSD CVA'!$AK$32)*(1 - CUSTOS!$M$38)</f>
        <v>0</v>
      </c>
      <c r="AI32" s="13">
        <v>0</v>
      </c>
      <c r="AJ32" s="13">
        <v>1.9693997047088401</v>
      </c>
      <c r="AK32" s="13">
        <v>0</v>
      </c>
      <c r="AL32" s="13">
        <v>0</v>
      </c>
      <c r="AM32" s="13">
        <v>0</v>
      </c>
      <c r="AN32" s="13">
        <v>52.522083892373999</v>
      </c>
      <c r="AO32" s="13">
        <v>8.1532545114815402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61.997941275568401</v>
      </c>
      <c r="AV32" s="13">
        <v>0</v>
      </c>
      <c r="AW32" s="13">
        <v>0</v>
      </c>
      <c r="AX32" s="13">
        <v>209.979326394308</v>
      </c>
      <c r="AY32" s="13">
        <v>0</v>
      </c>
      <c r="AZ32" s="13">
        <v>0</v>
      </c>
      <c r="BA32" s="13">
        <v>27.4106064685094</v>
      </c>
      <c r="BB32" s="13">
        <v>0</v>
      </c>
      <c r="BC32" s="13">
        <v>0</v>
      </c>
      <c r="BD32" s="13">
        <v>0</v>
      </c>
    </row>
    <row r="33" spans="1:56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>
        <f>('TUSD BE'!$L$33+'TUSD BF'!$L$33+'TUSD CVA'!$L$33)*(1 - CUSTOS!$M$38)</f>
        <v>0</v>
      </c>
      <c r="M33" s="13">
        <f>('TUSD BE'!$M$33+'TUSD BF'!$M$33+'TUSD CVA'!$M$33)*(1 - CUSTOS!$M$38)</f>
        <v>2.6531875288128748</v>
      </c>
      <c r="N33" s="13">
        <f ca="1">('TUSD BE'!$N$33+'TUSD BF'!$N$33+'TUSD CVA'!$N$33)*(1 - CUSTOS!$M$38)</f>
        <v>0</v>
      </c>
      <c r="O33" s="13">
        <f>('TUSD BE'!$O$33+'TUSD BF'!$O$33+'TUSD CVA'!$O$33)*(1 - CUSTOS!$M$38)</f>
        <v>0</v>
      </c>
      <c r="P33" s="13">
        <f>('TUSD BE'!$P$33+'TUSD BF'!$P$33+'TUSD CVA'!$P$33)*(1 - CUSTOS!$M$38)</f>
        <v>0</v>
      </c>
      <c r="Q33" s="13">
        <f>('TUSD BE'!$Q$33+'TUSD BF'!$Q$33+'TUSD CVA'!$Q$33)*(1 - CUSTOS!$M$38)</f>
        <v>87.843115654073628</v>
      </c>
      <c r="R33" s="13">
        <f>('TUSD BE'!$R$33+'TUSD BF'!$R$33+'TUSD CVA'!$R$33)*(1 - CUSTOS!$M$38)</f>
        <v>13.835910495224681</v>
      </c>
      <c r="S33" s="13">
        <f>('TUSD BE'!$S$33+'TUSD BF'!$S$33+'TUSD CVA'!$S$33)*(1 - CUSTOS!$M$38)</f>
        <v>0</v>
      </c>
      <c r="T33" s="13">
        <f>('TUSD BE'!$U$33+'TUSD BF'!$U$33+'TUSD CVA'!$U$33)*(1 - CUSTOS!$M$38)</f>
        <v>0</v>
      </c>
      <c r="U33" s="13">
        <f>('TUSD BE'!$V$33+'TUSD BF'!$V$33+'TUSD CVA'!$V$33)*(1 - CUSTOS!$M$38)</f>
        <v>0</v>
      </c>
      <c r="V33" s="13">
        <f>('TUSD BE'!$W$33+'TUSD BF'!$W$33+'TUSD CVA'!$W$33)*(1 - CUSTOS!$M$38)</f>
        <v>0</v>
      </c>
      <c r="W33" s="13">
        <f>('TUSD BE'!$X$33+'TUSD BF'!$X$33+'TUSD CVA'!$X$33)*(1 - CUSTOS!$M$38)</f>
        <v>0</v>
      </c>
      <c r="X33" s="13">
        <f>('TUSD BE'!$Y$33+'TUSD BF'!$Y$33+'TUSD CVA'!$Y$33)*(1 - CUSTOS!$M$38)</f>
        <v>131.15108004444207</v>
      </c>
      <c r="Y33" s="13">
        <f>('TUSD BE'!$Z$33+'TUSD BF'!$Z$33+'TUSD CVA'!$Z$33)*(1 - CUSTOS!$M$38)</f>
        <v>0</v>
      </c>
      <c r="Z33" s="13">
        <f>('TUSD BE'!$AA$33+'TUSD BF'!$AA$33+'TUSD CVA'!$AA$33)*(1 - CUSTOS!$M$38)</f>
        <v>0</v>
      </c>
      <c r="AA33" s="13">
        <f>('TUSD BE'!$AC$33+'TUSD BF'!$AC$33+'TUSD CVA'!$AC$33)*(1 - CUSTOS!$M$38)</f>
        <v>382.94144684485258</v>
      </c>
      <c r="AB33" s="13">
        <f ca="1">('TUSD BE'!$AE$33+'TUSD BF'!$AE$33+'TUSD CVA'!$AE$33)*(1 - CUSTOS!$M$38)</f>
        <v>-11.490482286464539</v>
      </c>
      <c r="AC33" s="13">
        <f ca="1">('TUSD BE'!$AF$33+'TUSD BF'!$AF$33+'TUSD CVA'!$AF$33)*(1 - CUSTOS!$M$38)</f>
        <v>0</v>
      </c>
      <c r="AD33" s="13">
        <f>('TUSD BE'!$AH$33+'TUSD BF'!$AH$33+'TUSD CVA'!$AH$33)*(1 - CUSTOS!$M$38)</f>
        <v>22.944975002182293</v>
      </c>
      <c r="AE33" s="13">
        <f>('TUSD BE'!$AI$33+'TUSD BF'!$AI$33+'TUSD CVA'!$AI$33)*(1 - CUSTOS!$M$38)</f>
        <v>0</v>
      </c>
      <c r="AF33" s="13">
        <f ca="1">('TUSD BE'!$AJ$33+'TUSD BF'!$AJ$33+'TUSD CVA'!$AJ$33)*(1 - CUSTOS!$M$38)</f>
        <v>0</v>
      </c>
      <c r="AG33" s="13">
        <f ca="1">('TUSD BE'!$AK$33+'TUSD BF'!$AK$33+'TUSD CVA'!$AK$33)*(1 - CUSTOS!$M$38)</f>
        <v>0</v>
      </c>
      <c r="AI33" s="13">
        <v>0</v>
      </c>
      <c r="AJ33" s="13">
        <v>1.9693997047088401</v>
      </c>
      <c r="AK33" s="13">
        <v>0</v>
      </c>
      <c r="AL33" s="13">
        <v>0</v>
      </c>
      <c r="AM33" s="13">
        <v>0</v>
      </c>
      <c r="AN33" s="13">
        <v>52.522083892373999</v>
      </c>
      <c r="AO33" s="13">
        <v>8.1532545114815402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91.1735186662834</v>
      </c>
      <c r="AV33" s="13">
        <v>0</v>
      </c>
      <c r="AW33" s="13">
        <v>0</v>
      </c>
      <c r="AX33" s="13">
        <v>308.79303325043401</v>
      </c>
      <c r="AY33" s="13">
        <v>0</v>
      </c>
      <c r="AZ33" s="13">
        <v>0</v>
      </c>
      <c r="BA33" s="13">
        <v>27.4106064685094</v>
      </c>
      <c r="BB33" s="13">
        <v>0</v>
      </c>
      <c r="BC33" s="13">
        <v>0</v>
      </c>
      <c r="BD33" s="13">
        <v>0</v>
      </c>
    </row>
    <row r="34" spans="1:56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>
        <f>('TUSD BE'!$L$34+'TUSD BF'!$L$34+'TUSD CVA'!$L$34)*(1 - CUSTOS!$M$39)</f>
        <v>0</v>
      </c>
      <c r="M34" s="13">
        <f>('TUSD BE'!$M$34+'TUSD BF'!$M$34+'TUSD CVA'!$M$34)*(1 - CUSTOS!$M$39)</f>
        <v>2.6531875288128748</v>
      </c>
      <c r="N34" s="13">
        <f ca="1">('TUSD BE'!$N$34+'TUSD BF'!$N$34+'TUSD CVA'!$N$34)*(1 - CUSTOS!$M$39)</f>
        <v>0</v>
      </c>
      <c r="O34" s="13">
        <f>('TUSD BE'!$O$34+'TUSD BF'!$O$34+'TUSD CVA'!$O$34)*(1 - CUSTOS!$M$39)</f>
        <v>0</v>
      </c>
      <c r="P34" s="13">
        <f>('TUSD BE'!$P$34+'TUSD BF'!$P$34+'TUSD CVA'!$P$34)*(1 - CUSTOS!$M$39)</f>
        <v>0</v>
      </c>
      <c r="Q34" s="13">
        <f>('TUSD BE'!$Q$34+'TUSD BF'!$Q$34+'TUSD CVA'!$Q$34)*(1 - CUSTOS!$M$39)</f>
        <v>87.843115654073628</v>
      </c>
      <c r="R34" s="13">
        <f>('TUSD BE'!$R$34+'TUSD BF'!$R$34+'TUSD CVA'!$R$34)*(1 - CUSTOS!$M$39)</f>
        <v>13.835910495224681</v>
      </c>
      <c r="S34" s="13">
        <f>('TUSD BE'!$S$34+'TUSD BF'!$S$34+'TUSD CVA'!$S$34)*(1 - CUSTOS!$M$39)</f>
        <v>0</v>
      </c>
      <c r="T34" s="13">
        <f>('TUSD BE'!$U$34+'TUSD BF'!$U$34+'TUSD CVA'!$U$34)*(1 - CUSTOS!$M$39)</f>
        <v>0</v>
      </c>
      <c r="U34" s="13">
        <f>('TUSD BE'!$V$34+'TUSD BF'!$V$34+'TUSD CVA'!$V$34)*(1 - CUSTOS!$M$39)</f>
        <v>0</v>
      </c>
      <c r="V34" s="13">
        <f>('TUSD BE'!$W$34+'TUSD BF'!$W$34+'TUSD CVA'!$W$34)*(1 - CUSTOS!$M$39)</f>
        <v>0</v>
      </c>
      <c r="W34" s="13">
        <f>('TUSD BE'!$X$34+'TUSD BF'!$X$34+'TUSD CVA'!$X$34)*(1 - CUSTOS!$M$39)</f>
        <v>0</v>
      </c>
      <c r="X34" s="13">
        <f>('TUSD BE'!$Y$34+'TUSD BF'!$Y$34+'TUSD CVA'!$Y$34)*(1 - CUSTOS!$M$39)</f>
        <v>445.79552612934225</v>
      </c>
      <c r="Y34" s="13">
        <f>('TUSD BE'!$Z$34+'TUSD BF'!$Z$34+'TUSD CVA'!$Z$34)*(1 - CUSTOS!$M$39)</f>
        <v>0</v>
      </c>
      <c r="Z34" s="13">
        <f>('TUSD BE'!$AA$34+'TUSD BF'!$AA$34+'TUSD CVA'!$AA$34)*(1 - CUSTOS!$M$39)</f>
        <v>0</v>
      </c>
      <c r="AA34" s="13">
        <f>('TUSD BE'!$AC$34+'TUSD BF'!$AC$34+'TUSD CVA'!$AC$34)*(1 - CUSTOS!$M$39)</f>
        <v>1302.0011345086355</v>
      </c>
      <c r="AB34" s="13">
        <f ca="1">('TUSD BE'!$AE$34+'TUSD BF'!$AE$34+'TUSD CVA'!$AE$34)*(1 - CUSTOS!$M$39)</f>
        <v>-34.800395111503889</v>
      </c>
      <c r="AC34" s="13">
        <f ca="1">('TUSD BE'!$AF$34+'TUSD BF'!$AF$34+'TUSD CVA'!$AF$34)*(1 - CUSTOS!$M$39)</f>
        <v>0</v>
      </c>
      <c r="AD34" s="13">
        <f>('TUSD BE'!$AH$34+'TUSD BF'!$AH$34+'TUSD CVA'!$AH$34)*(1 - CUSTOS!$M$39)</f>
        <v>22.944975002182293</v>
      </c>
      <c r="AE34" s="13">
        <f>('TUSD BE'!$AI$34+'TUSD BF'!$AI$34+'TUSD CVA'!$AI$34)*(1 - CUSTOS!$M$39)</f>
        <v>0</v>
      </c>
      <c r="AF34" s="13">
        <f ca="1">('TUSD BE'!$AJ$34+'TUSD BF'!$AJ$34+'TUSD CVA'!$AJ$34)*(1 - CUSTOS!$M$39)</f>
        <v>0</v>
      </c>
      <c r="AG34" s="13">
        <f ca="1">('TUSD BE'!$AK$34+'TUSD BF'!$AK$34+'TUSD CVA'!$AK$34)*(1 - CUSTOS!$M$39)</f>
        <v>0</v>
      </c>
      <c r="AI34" s="13">
        <v>0</v>
      </c>
      <c r="AJ34" s="13">
        <v>1.9693997047088401</v>
      </c>
      <c r="AK34" s="13">
        <v>0</v>
      </c>
      <c r="AL34" s="13">
        <v>0</v>
      </c>
      <c r="AM34" s="13">
        <v>0</v>
      </c>
      <c r="AN34" s="13">
        <v>52.522083892373999</v>
      </c>
      <c r="AO34" s="13">
        <v>8.1532545114815402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309.90795254596799</v>
      </c>
      <c r="AV34" s="13">
        <v>0</v>
      </c>
      <c r="AW34" s="13">
        <v>0</v>
      </c>
      <c r="AX34" s="13">
        <v>1049.8964933106399</v>
      </c>
      <c r="AY34" s="13">
        <v>0</v>
      </c>
      <c r="AZ34" s="13">
        <v>0</v>
      </c>
      <c r="BA34" s="13">
        <v>27.4106064685094</v>
      </c>
      <c r="BB34" s="13">
        <v>0</v>
      </c>
      <c r="BC34" s="13">
        <v>0</v>
      </c>
      <c r="BD34" s="13">
        <v>0</v>
      </c>
    </row>
    <row r="35" spans="1:56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>
        <f>('TUSD BE'!$L$35+'TUSD BF'!$L$35+'TUSD CVA'!$L$35)*(1 - CUSTOS!$M$39)</f>
        <v>0</v>
      </c>
      <c r="M35" s="13">
        <f>('TUSD BE'!$M$35+'TUSD BF'!$M$35+'TUSD CVA'!$M$35)*(1 - CUSTOS!$M$39)</f>
        <v>2.6531875288128748</v>
      </c>
      <c r="N35" s="13">
        <f ca="1">('TUSD BE'!$N$35+'TUSD BF'!$N$35+'TUSD CVA'!$N$35)*(1 - CUSTOS!$M$39)</f>
        <v>0</v>
      </c>
      <c r="O35" s="13">
        <f>('TUSD BE'!$O$35+'TUSD BF'!$O$35+'TUSD CVA'!$O$35)*(1 - CUSTOS!$M$39)</f>
        <v>0</v>
      </c>
      <c r="P35" s="13">
        <f>('TUSD BE'!$P$35+'TUSD BF'!$P$35+'TUSD CVA'!$P$35)*(1 - CUSTOS!$M$39)</f>
        <v>0</v>
      </c>
      <c r="Q35" s="13">
        <f>('TUSD BE'!$Q$35+'TUSD BF'!$Q$35+'TUSD CVA'!$Q$35)*(1 - CUSTOS!$M$39)</f>
        <v>87.843115654073628</v>
      </c>
      <c r="R35" s="13">
        <f>('TUSD BE'!$R$35+'TUSD BF'!$R$35+'TUSD CVA'!$R$35)*(1 - CUSTOS!$M$39)</f>
        <v>13.835910495224681</v>
      </c>
      <c r="S35" s="13">
        <f>('TUSD BE'!$S$35+'TUSD BF'!$S$35+'TUSD CVA'!$S$35)*(1 - CUSTOS!$M$39)</f>
        <v>0</v>
      </c>
      <c r="T35" s="13">
        <f>('TUSD BE'!$U$35+'TUSD BF'!$U$35+'TUSD CVA'!$U$35)*(1 - CUSTOS!$M$39)</f>
        <v>0</v>
      </c>
      <c r="U35" s="13">
        <f>('TUSD BE'!$V$35+'TUSD BF'!$V$35+'TUSD CVA'!$V$35)*(1 - CUSTOS!$M$39)</f>
        <v>0</v>
      </c>
      <c r="V35" s="13">
        <f>('TUSD BE'!$W$35+'TUSD BF'!$W$35+'TUSD CVA'!$W$35)*(1 - CUSTOS!$M$39)</f>
        <v>0</v>
      </c>
      <c r="W35" s="13">
        <f>('TUSD BE'!$X$35+'TUSD BF'!$X$35+'TUSD CVA'!$X$35)*(1 - CUSTOS!$M$39)</f>
        <v>0</v>
      </c>
      <c r="X35" s="13">
        <f>('TUSD BE'!$Y$35+'TUSD BF'!$Y$35+'TUSD CVA'!$Y$35)*(1 - CUSTOS!$M$39)</f>
        <v>267.48907030718158</v>
      </c>
      <c r="Y35" s="13">
        <f>('TUSD BE'!$Z$35+'TUSD BF'!$Z$35+'TUSD CVA'!$Z$35)*(1 - CUSTOS!$M$39)</f>
        <v>0</v>
      </c>
      <c r="Z35" s="13">
        <f>('TUSD BE'!$AA$35+'TUSD BF'!$AA$35+'TUSD CVA'!$AA$35)*(1 - CUSTOS!$M$39)</f>
        <v>0</v>
      </c>
      <c r="AA35" s="13">
        <f>('TUSD BE'!$AC$35+'TUSD BF'!$AC$35+'TUSD CVA'!$AC$35)*(1 - CUSTOS!$M$39)</f>
        <v>781.20048084305438</v>
      </c>
      <c r="AB35" s="13">
        <f ca="1">('TUSD BE'!$AE$35+'TUSD BF'!$AE$35+'TUSD CVA'!$AE$35)*(1 - CUSTOS!$M$39)</f>
        <v>-21.591324033804852</v>
      </c>
      <c r="AC35" s="13">
        <f ca="1">('TUSD BE'!$AF$35+'TUSD BF'!$AF$35+'TUSD CVA'!$AF$35)*(1 - CUSTOS!$M$39)</f>
        <v>0</v>
      </c>
      <c r="AD35" s="13">
        <f>('TUSD BE'!$AH$35+'TUSD BF'!$AH$35+'TUSD CVA'!$AH$35)*(1 - CUSTOS!$M$39)</f>
        <v>22.944975002182293</v>
      </c>
      <c r="AE35" s="13">
        <f>('TUSD BE'!$AI$35+'TUSD BF'!$AI$35+'TUSD CVA'!$AI$35)*(1 - CUSTOS!$M$39)</f>
        <v>0</v>
      </c>
      <c r="AF35" s="13">
        <f ca="1">('TUSD BE'!$AJ$35+'TUSD BF'!$AJ$35+'TUSD CVA'!$AJ$35)*(1 - CUSTOS!$M$39)</f>
        <v>0</v>
      </c>
      <c r="AG35" s="13">
        <f ca="1">('TUSD BE'!$AK$35+'TUSD BF'!$AK$35+'TUSD CVA'!$AK$35)*(1 - CUSTOS!$M$39)</f>
        <v>0</v>
      </c>
      <c r="AI35" s="13">
        <v>0</v>
      </c>
      <c r="AJ35" s="13">
        <v>1.9693997047088401</v>
      </c>
      <c r="AK35" s="13">
        <v>0</v>
      </c>
      <c r="AL35" s="13">
        <v>0</v>
      </c>
      <c r="AM35" s="13">
        <v>0</v>
      </c>
      <c r="AN35" s="13">
        <v>52.522083892373999</v>
      </c>
      <c r="AO35" s="13">
        <v>8.1532545114815402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185.95294691076799</v>
      </c>
      <c r="AV35" s="13">
        <v>0</v>
      </c>
      <c r="AW35" s="13">
        <v>0</v>
      </c>
      <c r="AX35" s="13">
        <v>629.93777119157801</v>
      </c>
      <c r="AY35" s="13">
        <v>0</v>
      </c>
      <c r="AZ35" s="13">
        <v>0</v>
      </c>
      <c r="BA35" s="13">
        <v>27.4106064685094</v>
      </c>
      <c r="BB35" s="13">
        <v>0</v>
      </c>
      <c r="BC35" s="13">
        <v>0</v>
      </c>
      <c r="BD35" s="13">
        <v>0</v>
      </c>
    </row>
    <row r="36" spans="1:56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>
        <f>('TUSD BE'!$L$36+'TUSD BF'!$L$36+'TUSD CVA'!$L$36)*(1 - CUSTOS!$M$39)</f>
        <v>0</v>
      </c>
      <c r="M36" s="13">
        <f>('TUSD BE'!$M$36+'TUSD BF'!$M$36+'TUSD CVA'!$M$36)*(1 - CUSTOS!$M$39)</f>
        <v>2.6531875288128748</v>
      </c>
      <c r="N36" s="13">
        <f ca="1">('TUSD BE'!$N$36+'TUSD BF'!$N$36+'TUSD CVA'!$N$36)*(1 - CUSTOS!$M$39)</f>
        <v>0</v>
      </c>
      <c r="O36" s="13">
        <f>('TUSD BE'!$O$36+'TUSD BF'!$O$36+'TUSD CVA'!$O$36)*(1 - CUSTOS!$M$39)</f>
        <v>0</v>
      </c>
      <c r="P36" s="13">
        <f>('TUSD BE'!$P$36+'TUSD BF'!$P$36+'TUSD CVA'!$P$36)*(1 - CUSTOS!$M$39)</f>
        <v>0</v>
      </c>
      <c r="Q36" s="13">
        <f>('TUSD BE'!$Q$36+'TUSD BF'!$Q$36+'TUSD CVA'!$Q$36)*(1 - CUSTOS!$M$39)</f>
        <v>87.843115654073628</v>
      </c>
      <c r="R36" s="13">
        <f>('TUSD BE'!$R$36+'TUSD BF'!$R$36+'TUSD CVA'!$R$36)*(1 - CUSTOS!$M$39)</f>
        <v>13.835910495224681</v>
      </c>
      <c r="S36" s="13">
        <f>('TUSD BE'!$S$36+'TUSD BF'!$S$36+'TUSD CVA'!$S$36)*(1 - CUSTOS!$M$39)</f>
        <v>0</v>
      </c>
      <c r="T36" s="13">
        <f>('TUSD BE'!$U$36+'TUSD BF'!$U$36+'TUSD CVA'!$U$36)*(1 - CUSTOS!$M$39)</f>
        <v>0</v>
      </c>
      <c r="U36" s="13">
        <f>('TUSD BE'!$V$36+'TUSD BF'!$V$36+'TUSD CVA'!$V$36)*(1 - CUSTOS!$M$39)</f>
        <v>0</v>
      </c>
      <c r="V36" s="13">
        <f>('TUSD BE'!$W$36+'TUSD BF'!$W$36+'TUSD CVA'!$W$36)*(1 - CUSTOS!$M$39)</f>
        <v>0</v>
      </c>
      <c r="W36" s="13">
        <f>('TUSD BE'!$X$36+'TUSD BF'!$X$36+'TUSD CVA'!$X$36)*(1 - CUSTOS!$M$39)</f>
        <v>0</v>
      </c>
      <c r="X36" s="13">
        <f>('TUSD BE'!$Y$36+'TUSD BF'!$Y$36+'TUSD CVA'!$Y$36)*(1 - CUSTOS!$M$39)</f>
        <v>89.182614485020864</v>
      </c>
      <c r="Y36" s="13">
        <f>('TUSD BE'!$Z$36+'TUSD BF'!$Z$36+'TUSD CVA'!$Z$36)*(1 - CUSTOS!$M$39)</f>
        <v>0</v>
      </c>
      <c r="Z36" s="13">
        <f>('TUSD BE'!$AA$36+'TUSD BF'!$AA$36+'TUSD CVA'!$AA$36)*(1 - CUSTOS!$M$39)</f>
        <v>0</v>
      </c>
      <c r="AA36" s="13">
        <f>('TUSD BE'!$AC$36+'TUSD BF'!$AC$36+'TUSD CVA'!$AC$36)*(1 - CUSTOS!$M$39)</f>
        <v>260.40028839776613</v>
      </c>
      <c r="AB36" s="13">
        <f ca="1">('TUSD BE'!$AE$36+'TUSD BF'!$AE$36+'TUSD CVA'!$AE$36)*(1 - CUSTOS!$M$39)</f>
        <v>-8.3822623232104494</v>
      </c>
      <c r="AC36" s="13">
        <f ca="1">('TUSD BE'!$AF$36+'TUSD BF'!$AF$36+'TUSD CVA'!$AF$36)*(1 - CUSTOS!$M$39)</f>
        <v>0</v>
      </c>
      <c r="AD36" s="13">
        <f>('TUSD BE'!$AH$36+'TUSD BF'!$AH$36+'TUSD CVA'!$AH$36)*(1 - CUSTOS!$M$39)</f>
        <v>22.944975002182293</v>
      </c>
      <c r="AE36" s="13">
        <f>('TUSD BE'!$AI$36+'TUSD BF'!$AI$36+'TUSD CVA'!$AI$36)*(1 - CUSTOS!$M$39)</f>
        <v>0</v>
      </c>
      <c r="AF36" s="13">
        <f ca="1">('TUSD BE'!$AJ$36+'TUSD BF'!$AJ$36+'TUSD CVA'!$AJ$36)*(1 - CUSTOS!$M$39)</f>
        <v>0</v>
      </c>
      <c r="AG36" s="13">
        <f ca="1">('TUSD BE'!$AK$36+'TUSD BF'!$AK$36+'TUSD CVA'!$AK$36)*(1 - CUSTOS!$M$39)</f>
        <v>0</v>
      </c>
      <c r="AI36" s="13">
        <v>0</v>
      </c>
      <c r="AJ36" s="13">
        <v>1.9693997047088401</v>
      </c>
      <c r="AK36" s="13">
        <v>0</v>
      </c>
      <c r="AL36" s="13">
        <v>0</v>
      </c>
      <c r="AM36" s="13">
        <v>0</v>
      </c>
      <c r="AN36" s="13">
        <v>52.522083892373999</v>
      </c>
      <c r="AO36" s="13">
        <v>8.1532545114815402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61.997941275568401</v>
      </c>
      <c r="AV36" s="13">
        <v>0</v>
      </c>
      <c r="AW36" s="13">
        <v>0</v>
      </c>
      <c r="AX36" s="13">
        <v>209.979326394308</v>
      </c>
      <c r="AY36" s="13">
        <v>0</v>
      </c>
      <c r="AZ36" s="13">
        <v>0</v>
      </c>
      <c r="BA36" s="13">
        <v>27.4106064685094</v>
      </c>
      <c r="BB36" s="13">
        <v>0</v>
      </c>
      <c r="BC36" s="13">
        <v>0</v>
      </c>
      <c r="BD36" s="13">
        <v>0</v>
      </c>
    </row>
    <row r="37" spans="1:56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>
        <f>('TUSD BE'!$L$37+'TUSD BF'!$L$37+'TUSD CVA'!$L$37)*(1 - CUSTOS!$M$39)</f>
        <v>0</v>
      </c>
      <c r="M37" s="13">
        <f>('TUSD BE'!$M$37+'TUSD BF'!$M$37+'TUSD CVA'!$M$37)*(1 - CUSTOS!$M$39)</f>
        <v>2.6531875288128748</v>
      </c>
      <c r="N37" s="13">
        <f ca="1">('TUSD BE'!$N$37+'TUSD BF'!$N$37+'TUSD CVA'!$N$37)*(1 - CUSTOS!$M$39)</f>
        <v>0</v>
      </c>
      <c r="O37" s="13">
        <f>('TUSD BE'!$O$37+'TUSD BF'!$O$37+'TUSD CVA'!$O$37)*(1 - CUSTOS!$M$39)</f>
        <v>0</v>
      </c>
      <c r="P37" s="13">
        <f>('TUSD BE'!$P$37+'TUSD BF'!$P$37+'TUSD CVA'!$P$37)*(1 - CUSTOS!$M$39)</f>
        <v>0</v>
      </c>
      <c r="Q37" s="13">
        <f>('TUSD BE'!$Q$37+'TUSD BF'!$Q$37+'TUSD CVA'!$Q$37)*(1 - CUSTOS!$M$39)</f>
        <v>87.843115654073628</v>
      </c>
      <c r="R37" s="13">
        <f>('TUSD BE'!$R$37+'TUSD BF'!$R$37+'TUSD CVA'!$R$37)*(1 - CUSTOS!$M$39)</f>
        <v>13.835910495224681</v>
      </c>
      <c r="S37" s="13">
        <f>('TUSD BE'!$S$37+'TUSD BF'!$S$37+'TUSD CVA'!$S$37)*(1 - CUSTOS!$M$39)</f>
        <v>0</v>
      </c>
      <c r="T37" s="13">
        <f>('TUSD BE'!$U$37+'TUSD BF'!$U$37+'TUSD CVA'!$U$37)*(1 - CUSTOS!$M$39)</f>
        <v>0</v>
      </c>
      <c r="U37" s="13">
        <f>('TUSD BE'!$V$37+'TUSD BF'!$V$37+'TUSD CVA'!$V$37)*(1 - CUSTOS!$M$39)</f>
        <v>0</v>
      </c>
      <c r="V37" s="13">
        <f>('TUSD BE'!$W$37+'TUSD BF'!$W$37+'TUSD CVA'!$W$37)*(1 - CUSTOS!$M$39)</f>
        <v>0</v>
      </c>
      <c r="W37" s="13">
        <f>('TUSD BE'!$X$37+'TUSD BF'!$X$37+'TUSD CVA'!$X$37)*(1 - CUSTOS!$M$39)</f>
        <v>0</v>
      </c>
      <c r="X37" s="13">
        <f>('TUSD BE'!$Y$37+'TUSD BF'!$Y$37+'TUSD CVA'!$Y$37)*(1 - CUSTOS!$M$39)</f>
        <v>131.15108004444207</v>
      </c>
      <c r="Y37" s="13">
        <f>('TUSD BE'!$Z$37+'TUSD BF'!$Z$37+'TUSD CVA'!$Z$37)*(1 - CUSTOS!$M$39)</f>
        <v>0</v>
      </c>
      <c r="Z37" s="13">
        <f>('TUSD BE'!$AA$37+'TUSD BF'!$AA$37+'TUSD CVA'!$AA$37)*(1 - CUSTOS!$M$39)</f>
        <v>0</v>
      </c>
      <c r="AA37" s="13">
        <f>('TUSD BE'!$AC$37+'TUSD BF'!$AC$37+'TUSD CVA'!$AC$37)*(1 - CUSTOS!$M$39)</f>
        <v>382.94144684485258</v>
      </c>
      <c r="AB37" s="13">
        <f ca="1">('TUSD BE'!$AE$37+'TUSD BF'!$AE$37+'TUSD CVA'!$AE$37)*(1 - CUSTOS!$M$39)</f>
        <v>-11.490482286464539</v>
      </c>
      <c r="AC37" s="13">
        <f ca="1">('TUSD BE'!$AF$37+'TUSD BF'!$AF$37+'TUSD CVA'!$AF$37)*(1 - CUSTOS!$M$39)</f>
        <v>0</v>
      </c>
      <c r="AD37" s="13">
        <f>('TUSD BE'!$AH$37+'TUSD BF'!$AH$37+'TUSD CVA'!$AH$37)*(1 - CUSTOS!$M$39)</f>
        <v>22.944975002182293</v>
      </c>
      <c r="AE37" s="13">
        <f>('TUSD BE'!$AI$37+'TUSD BF'!$AI$37+'TUSD CVA'!$AI$37)*(1 - CUSTOS!$M$39)</f>
        <v>0</v>
      </c>
      <c r="AF37" s="13">
        <f ca="1">('TUSD BE'!$AJ$37+'TUSD BF'!$AJ$37+'TUSD CVA'!$AJ$37)*(1 - CUSTOS!$M$39)</f>
        <v>0</v>
      </c>
      <c r="AG37" s="13">
        <f ca="1">('TUSD BE'!$AK$37+'TUSD BF'!$AK$37+'TUSD CVA'!$AK$37)*(1 - CUSTOS!$M$39)</f>
        <v>0</v>
      </c>
      <c r="AI37" s="13">
        <v>0</v>
      </c>
      <c r="AJ37" s="13">
        <v>1.9693997047088401</v>
      </c>
      <c r="AK37" s="13">
        <v>0</v>
      </c>
      <c r="AL37" s="13">
        <v>0</v>
      </c>
      <c r="AM37" s="13">
        <v>0</v>
      </c>
      <c r="AN37" s="13">
        <v>52.522083892373999</v>
      </c>
      <c r="AO37" s="13">
        <v>8.1532545114815402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91.1735186662834</v>
      </c>
      <c r="AV37" s="13">
        <v>0</v>
      </c>
      <c r="AW37" s="13">
        <v>0</v>
      </c>
      <c r="AX37" s="13">
        <v>308.79303325043401</v>
      </c>
      <c r="AY37" s="13">
        <v>0</v>
      </c>
      <c r="AZ37" s="13">
        <v>0</v>
      </c>
      <c r="BA37" s="13">
        <v>27.4106064685094</v>
      </c>
      <c r="BB37" s="13">
        <v>0</v>
      </c>
      <c r="BC37" s="13">
        <v>0</v>
      </c>
      <c r="BD37" s="13">
        <v>0</v>
      </c>
    </row>
    <row r="38" spans="1:56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>
        <f>('TUSD BE'!$L$38+'TUSD BF'!$L$38+'TUSD CVA'!$L$38)*(1 - CUSTOS!$M$40)</f>
        <v>0</v>
      </c>
      <c r="M38" s="13">
        <f>('TUSD BE'!$M$38+'TUSD BF'!$M$38+'TUSD CVA'!$M$38)*(1 - CUSTOS!$M$40)</f>
        <v>2.5967367303274949</v>
      </c>
      <c r="N38" s="13">
        <f ca="1">('TUSD BE'!$N$38+'TUSD BF'!$N$38+'TUSD CVA'!$N$38)*(1 - CUSTOS!$M$40)</f>
        <v>0</v>
      </c>
      <c r="O38" s="13">
        <f>('TUSD BE'!$O$38+'TUSD BF'!$O$38+'TUSD CVA'!$O$38)*(1 - CUSTOS!$M$40)</f>
        <v>0</v>
      </c>
      <c r="P38" s="13">
        <f>('TUSD BE'!$P$38+'TUSD BF'!$P$38+'TUSD CVA'!$P$38)*(1 - CUSTOS!$M$40)</f>
        <v>0</v>
      </c>
      <c r="Q38" s="13">
        <f>('TUSD BE'!$Q$38+'TUSD BF'!$Q$38+'TUSD CVA'!$Q$38)*(1 - CUSTOS!$M$40)</f>
        <v>85.974113193348657</v>
      </c>
      <c r="R38" s="13">
        <f>('TUSD BE'!$R$38+'TUSD BF'!$R$38+'TUSD CVA'!$R$38)*(1 - CUSTOS!$M$40)</f>
        <v>13.5415294208582</v>
      </c>
      <c r="S38" s="13">
        <f>('TUSD BE'!$S$38+'TUSD BF'!$S$38+'TUSD CVA'!$S$38)*(1 - CUSTOS!$M$40)</f>
        <v>0</v>
      </c>
      <c r="T38" s="13">
        <f>('TUSD BE'!$U$38+'TUSD BF'!$U$38+'TUSD CVA'!$U$38)*(1 - CUSTOS!$M$40)</f>
        <v>0</v>
      </c>
      <c r="U38" s="13">
        <f>('TUSD BE'!$V$38+'TUSD BF'!$V$38+'TUSD CVA'!$V$38)*(1 - CUSTOS!$M$40)</f>
        <v>0</v>
      </c>
      <c r="V38" s="13">
        <f>('TUSD BE'!$W$38+'TUSD BF'!$W$38+'TUSD CVA'!$W$38)*(1 - CUSTOS!$M$40)</f>
        <v>0</v>
      </c>
      <c r="W38" s="13">
        <f>('TUSD BE'!$X$38+'TUSD BF'!$X$38+'TUSD CVA'!$X$38)*(1 - CUSTOS!$M$40)</f>
        <v>0</v>
      </c>
      <c r="X38" s="13">
        <f>('TUSD BE'!$Y$38+'TUSD BF'!$Y$38+'TUSD CVA'!$Y$38)*(1 - CUSTOS!$M$40)</f>
        <v>436.31051493510097</v>
      </c>
      <c r="Y38" s="13">
        <f>('TUSD BE'!$Z$38+'TUSD BF'!$Z$38+'TUSD CVA'!$Z$38)*(1 - CUSTOS!$M$40)</f>
        <v>0</v>
      </c>
      <c r="Z38" s="13">
        <f>('TUSD BE'!$AA$38+'TUSD BF'!$AA$38+'TUSD CVA'!$AA$38)*(1 - CUSTOS!$M$40)</f>
        <v>0</v>
      </c>
      <c r="AA38" s="13">
        <f>('TUSD BE'!$AC$38+'TUSD BF'!$AC$38+'TUSD CVA'!$AC$38)*(1 - CUSTOS!$M$40)</f>
        <v>1274.2989827105796</v>
      </c>
      <c r="AB38" s="13">
        <f ca="1">('TUSD BE'!$AE$38+'TUSD BF'!$AE$38+'TUSD CVA'!$AE$38)*(1 - CUSTOS!$M$40)</f>
        <v>-34.059961172961259</v>
      </c>
      <c r="AC38" s="13">
        <f ca="1">('TUSD BE'!$AF$38+'TUSD BF'!$AF$38+'TUSD CVA'!$AF$38)*(1 - CUSTOS!$M$40)</f>
        <v>0</v>
      </c>
      <c r="AD38" s="13">
        <f>('TUSD BE'!$AH$38+'TUSD BF'!$AH$38+'TUSD CVA'!$AH$38)*(1 - CUSTOS!$M$40)</f>
        <v>22.456784044689055</v>
      </c>
      <c r="AE38" s="13">
        <f>('TUSD BE'!$AI$38+'TUSD BF'!$AI$38+'TUSD CVA'!$AI$38)*(1 - CUSTOS!$M$40)</f>
        <v>0</v>
      </c>
      <c r="AF38" s="13">
        <f ca="1">('TUSD BE'!$AJ$38+'TUSD BF'!$AJ$38+'TUSD CVA'!$AJ$38)*(1 - CUSTOS!$M$40)</f>
        <v>0</v>
      </c>
      <c r="AG38" s="13">
        <f ca="1">('TUSD BE'!$AK$38+'TUSD BF'!$AK$38+'TUSD CVA'!$AK$38)*(1 - CUSTOS!$M$40)</f>
        <v>0</v>
      </c>
      <c r="AI38" s="13">
        <v>0</v>
      </c>
      <c r="AJ38" s="13">
        <v>1.8798815363129799</v>
      </c>
      <c r="AK38" s="13">
        <v>0</v>
      </c>
      <c r="AL38" s="13">
        <v>0</v>
      </c>
      <c r="AM38" s="13">
        <v>0</v>
      </c>
      <c r="AN38" s="13">
        <v>50.134716442720602</v>
      </c>
      <c r="AO38" s="13">
        <v>7.7826520336869196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295.821227430242</v>
      </c>
      <c r="AV38" s="13">
        <v>0</v>
      </c>
      <c r="AW38" s="13">
        <v>0</v>
      </c>
      <c r="AX38" s="13">
        <v>1002.17392543289</v>
      </c>
      <c r="AY38" s="13">
        <v>0</v>
      </c>
      <c r="AZ38" s="13">
        <v>0</v>
      </c>
      <c r="BA38" s="13">
        <v>26.164669810849801</v>
      </c>
      <c r="BB38" s="13">
        <v>0</v>
      </c>
      <c r="BC38" s="13">
        <v>0</v>
      </c>
      <c r="BD38" s="13">
        <v>0</v>
      </c>
    </row>
    <row r="39" spans="1:56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>
        <f>('TUSD BE'!$L$39+'TUSD BF'!$L$39+'TUSD CVA'!$L$39)*(1 - CUSTOS!$M$40)</f>
        <v>0</v>
      </c>
      <c r="M39" s="13">
        <f>('TUSD BE'!$M$39+'TUSD BF'!$M$39+'TUSD CVA'!$M$39)*(1 - CUSTOS!$M$40)</f>
        <v>2.5967367303274949</v>
      </c>
      <c r="N39" s="13">
        <f ca="1">('TUSD BE'!$N$39+'TUSD BF'!$N$39+'TUSD CVA'!$N$39)*(1 - CUSTOS!$M$40)</f>
        <v>0</v>
      </c>
      <c r="O39" s="13">
        <f>('TUSD BE'!$O$39+'TUSD BF'!$O$39+'TUSD CVA'!$O$39)*(1 - CUSTOS!$M$40)</f>
        <v>0</v>
      </c>
      <c r="P39" s="13">
        <f>('TUSD BE'!$P$39+'TUSD BF'!$P$39+'TUSD CVA'!$P$39)*(1 - CUSTOS!$M$40)</f>
        <v>0</v>
      </c>
      <c r="Q39" s="13">
        <f>('TUSD BE'!$Q$39+'TUSD BF'!$Q$39+'TUSD CVA'!$Q$39)*(1 - CUSTOS!$M$40)</f>
        <v>85.974113193348657</v>
      </c>
      <c r="R39" s="13">
        <f>('TUSD BE'!$R$39+'TUSD BF'!$R$39+'TUSD CVA'!$R$39)*(1 - CUSTOS!$M$40)</f>
        <v>13.5415294208582</v>
      </c>
      <c r="S39" s="13">
        <f>('TUSD BE'!$S$39+'TUSD BF'!$S$39+'TUSD CVA'!$S$39)*(1 - CUSTOS!$M$40)</f>
        <v>0</v>
      </c>
      <c r="T39" s="13">
        <f>('TUSD BE'!$U$39+'TUSD BF'!$U$39+'TUSD CVA'!$U$39)*(1 - CUSTOS!$M$40)</f>
        <v>0</v>
      </c>
      <c r="U39" s="13">
        <f>('TUSD BE'!$V$39+'TUSD BF'!$V$39+'TUSD CVA'!$V$39)*(1 - CUSTOS!$M$40)</f>
        <v>0</v>
      </c>
      <c r="V39" s="13">
        <f>('TUSD BE'!$W$39+'TUSD BF'!$W$39+'TUSD CVA'!$W$39)*(1 - CUSTOS!$M$40)</f>
        <v>0</v>
      </c>
      <c r="W39" s="13">
        <f>('TUSD BE'!$X$39+'TUSD BF'!$X$39+'TUSD CVA'!$X$39)*(1 - CUSTOS!$M$40)</f>
        <v>0</v>
      </c>
      <c r="X39" s="13">
        <f>('TUSD BE'!$Y$39+'TUSD BF'!$Y$39+'TUSD CVA'!$Y$39)*(1 - CUSTOS!$M$40)</f>
        <v>261.79781349213516</v>
      </c>
      <c r="Y39" s="13">
        <f>('TUSD BE'!$Z$39+'TUSD BF'!$Z$39+'TUSD CVA'!$Z$39)*(1 - CUSTOS!$M$40)</f>
        <v>0</v>
      </c>
      <c r="Z39" s="13">
        <f>('TUSD BE'!$AA$39+'TUSD BF'!$AA$39+'TUSD CVA'!$AA$39)*(1 - CUSTOS!$M$40)</f>
        <v>0</v>
      </c>
      <c r="AA39" s="13">
        <f>('TUSD BE'!$AC$39+'TUSD BF'!$AC$39+'TUSD CVA'!$AC$39)*(1 - CUSTOS!$M$40)</f>
        <v>764.57919401660638</v>
      </c>
      <c r="AB39" s="13">
        <f ca="1">('TUSD BE'!$AE$39+'TUSD BF'!$AE$39+'TUSD CVA'!$AE$39)*(1 - CUSTOS!$M$40)</f>
        <v>-21.131934160745175</v>
      </c>
      <c r="AC39" s="13">
        <f ca="1">('TUSD BE'!$AF$39+'TUSD BF'!$AF$39+'TUSD CVA'!$AF$39)*(1 - CUSTOS!$M$40)</f>
        <v>0</v>
      </c>
      <c r="AD39" s="13">
        <f>('TUSD BE'!$AH$39+'TUSD BF'!$AH$39+'TUSD CVA'!$AH$39)*(1 - CUSTOS!$M$40)</f>
        <v>22.456784044689055</v>
      </c>
      <c r="AE39" s="13">
        <f>('TUSD BE'!$AI$39+'TUSD BF'!$AI$39+'TUSD CVA'!$AI$39)*(1 - CUSTOS!$M$40)</f>
        <v>0</v>
      </c>
      <c r="AF39" s="13">
        <f ca="1">('TUSD BE'!$AJ$39+'TUSD BF'!$AJ$39+'TUSD CVA'!$AJ$39)*(1 - CUSTOS!$M$40)</f>
        <v>0</v>
      </c>
      <c r="AG39" s="13">
        <f ca="1">('TUSD BE'!$AK$39+'TUSD BF'!$AK$39+'TUSD CVA'!$AK$39)*(1 - CUSTOS!$M$40)</f>
        <v>0</v>
      </c>
      <c r="AI39" s="13">
        <v>0</v>
      </c>
      <c r="AJ39" s="13">
        <v>1.8798815363129799</v>
      </c>
      <c r="AK39" s="13">
        <v>0</v>
      </c>
      <c r="AL39" s="13">
        <v>0</v>
      </c>
      <c r="AM39" s="13">
        <v>0</v>
      </c>
      <c r="AN39" s="13">
        <v>50.134716442720602</v>
      </c>
      <c r="AO39" s="13">
        <v>7.7826520336869196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177.50054023300601</v>
      </c>
      <c r="AV39" s="13">
        <v>0</v>
      </c>
      <c r="AW39" s="13">
        <v>0</v>
      </c>
      <c r="AX39" s="13">
        <v>601.30423613741596</v>
      </c>
      <c r="AY39" s="13">
        <v>0</v>
      </c>
      <c r="AZ39" s="13">
        <v>0</v>
      </c>
      <c r="BA39" s="13">
        <v>26.164669810849801</v>
      </c>
      <c r="BB39" s="13">
        <v>0</v>
      </c>
      <c r="BC39" s="13">
        <v>0</v>
      </c>
      <c r="BD39" s="13">
        <v>0</v>
      </c>
    </row>
    <row r="40" spans="1:56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>
        <f>('TUSD BE'!$L$40+'TUSD BF'!$L$40+'TUSD CVA'!$L$40)*(1 - CUSTOS!$M$40)</f>
        <v>0</v>
      </c>
      <c r="M40" s="13">
        <f>('TUSD BE'!$M$40+'TUSD BF'!$M$40+'TUSD CVA'!$M$40)*(1 - CUSTOS!$M$40)</f>
        <v>2.5967367303274949</v>
      </c>
      <c r="N40" s="13">
        <f ca="1">('TUSD BE'!$N$40+'TUSD BF'!$N$40+'TUSD CVA'!$N$40)*(1 - CUSTOS!$M$40)</f>
        <v>0</v>
      </c>
      <c r="O40" s="13">
        <f>('TUSD BE'!$O$40+'TUSD BF'!$O$40+'TUSD CVA'!$O$40)*(1 - CUSTOS!$M$40)</f>
        <v>0</v>
      </c>
      <c r="P40" s="13">
        <f>('TUSD BE'!$P$40+'TUSD BF'!$P$40+'TUSD CVA'!$P$40)*(1 - CUSTOS!$M$40)</f>
        <v>0</v>
      </c>
      <c r="Q40" s="13">
        <f>('TUSD BE'!$Q$40+'TUSD BF'!$Q$40+'TUSD CVA'!$Q$40)*(1 - CUSTOS!$M$40)</f>
        <v>85.974113193348657</v>
      </c>
      <c r="R40" s="13">
        <f>('TUSD BE'!$R$40+'TUSD BF'!$R$40+'TUSD CVA'!$R$40)*(1 - CUSTOS!$M$40)</f>
        <v>13.5415294208582</v>
      </c>
      <c r="S40" s="13">
        <f>('TUSD BE'!$S$40+'TUSD BF'!$S$40+'TUSD CVA'!$S$40)*(1 - CUSTOS!$M$40)</f>
        <v>0</v>
      </c>
      <c r="T40" s="13">
        <f>('TUSD BE'!$U$40+'TUSD BF'!$U$40+'TUSD CVA'!$U$40)*(1 - CUSTOS!$M$40)</f>
        <v>0</v>
      </c>
      <c r="U40" s="13">
        <f>('TUSD BE'!$V$40+'TUSD BF'!$V$40+'TUSD CVA'!$V$40)*(1 - CUSTOS!$M$40)</f>
        <v>0</v>
      </c>
      <c r="V40" s="13">
        <f>('TUSD BE'!$W$40+'TUSD BF'!$W$40+'TUSD CVA'!$W$40)*(1 - CUSTOS!$M$40)</f>
        <v>0</v>
      </c>
      <c r="W40" s="13">
        <f>('TUSD BE'!$X$40+'TUSD BF'!$X$40+'TUSD CVA'!$X$40)*(1 - CUSTOS!$M$40)</f>
        <v>0</v>
      </c>
      <c r="X40" s="13">
        <f>('TUSD BE'!$Y$40+'TUSD BF'!$Y$40+'TUSD CVA'!$Y$40)*(1 - CUSTOS!$M$40)</f>
        <v>87.285112049169356</v>
      </c>
      <c r="Y40" s="13">
        <f>('TUSD BE'!$Z$40+'TUSD BF'!$Z$40+'TUSD CVA'!$Z$40)*(1 - CUSTOS!$M$40)</f>
        <v>0</v>
      </c>
      <c r="Z40" s="13">
        <f>('TUSD BE'!$AA$40+'TUSD BF'!$AA$40+'TUSD CVA'!$AA$40)*(1 - CUSTOS!$M$40)</f>
        <v>0</v>
      </c>
      <c r="AA40" s="13">
        <f>('TUSD BE'!$AC$40+'TUSD BF'!$AC$40+'TUSD CVA'!$AC$40)*(1 - CUSTOS!$M$40)</f>
        <v>254.85985672972859</v>
      </c>
      <c r="AB40" s="13">
        <f ca="1">('TUSD BE'!$AE$40+'TUSD BF'!$AE$40+'TUSD CVA'!$AE$40)*(1 - CUSTOS!$M$40)</f>
        <v>-8.2039163163336308</v>
      </c>
      <c r="AC40" s="13">
        <f ca="1">('TUSD BE'!$AF$40+'TUSD BF'!$AF$40+'TUSD CVA'!$AF$40)*(1 - CUSTOS!$M$40)</f>
        <v>0</v>
      </c>
      <c r="AD40" s="13">
        <f>('TUSD BE'!$AH$40+'TUSD BF'!$AH$40+'TUSD CVA'!$AH$40)*(1 - CUSTOS!$M$40)</f>
        <v>22.456784044689055</v>
      </c>
      <c r="AE40" s="13">
        <f>('TUSD BE'!$AI$40+'TUSD BF'!$AI$40+'TUSD CVA'!$AI$40)*(1 - CUSTOS!$M$40)</f>
        <v>0</v>
      </c>
      <c r="AF40" s="13">
        <f ca="1">('TUSD BE'!$AJ$40+'TUSD BF'!$AJ$40+'TUSD CVA'!$AJ$40)*(1 - CUSTOS!$M$40)</f>
        <v>0</v>
      </c>
      <c r="AG40" s="13">
        <f ca="1">('TUSD BE'!$AK$40+'TUSD BF'!$AK$40+'TUSD CVA'!$AK$40)*(1 - CUSTOS!$M$40)</f>
        <v>0</v>
      </c>
      <c r="AI40" s="13">
        <v>0</v>
      </c>
      <c r="AJ40" s="13">
        <v>1.8798815363129799</v>
      </c>
      <c r="AK40" s="13">
        <v>0</v>
      </c>
      <c r="AL40" s="13">
        <v>0</v>
      </c>
      <c r="AM40" s="13">
        <v>0</v>
      </c>
      <c r="AN40" s="13">
        <v>50.134716442720602</v>
      </c>
      <c r="AO40" s="13">
        <v>7.7826520336869196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59.179853035769902</v>
      </c>
      <c r="AV40" s="13">
        <v>0</v>
      </c>
      <c r="AW40" s="13">
        <v>0</v>
      </c>
      <c r="AX40" s="13">
        <v>200.43481155820299</v>
      </c>
      <c r="AY40" s="13">
        <v>0</v>
      </c>
      <c r="AZ40" s="13">
        <v>0</v>
      </c>
      <c r="BA40" s="13">
        <v>26.164669810849801</v>
      </c>
      <c r="BB40" s="13">
        <v>0</v>
      </c>
      <c r="BC40" s="13">
        <v>0</v>
      </c>
      <c r="BD40" s="13">
        <v>0</v>
      </c>
    </row>
    <row r="41" spans="1:56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>
        <f>('TUSD BE'!$L$41+'TUSD BF'!$L$41+'TUSD CVA'!$L$41)*(1 - CUSTOS!$M$40)</f>
        <v>0</v>
      </c>
      <c r="M41" s="13">
        <f>('TUSD BE'!$M$41+'TUSD BF'!$M$41+'TUSD CVA'!$M$41)*(1 - CUSTOS!$M$40)</f>
        <v>2.5967367303274949</v>
      </c>
      <c r="N41" s="13">
        <f ca="1">('TUSD BE'!$N$41+'TUSD BF'!$N$41+'TUSD CVA'!$N$41)*(1 - CUSTOS!$M$40)</f>
        <v>0</v>
      </c>
      <c r="O41" s="13">
        <f>('TUSD BE'!$O$41+'TUSD BF'!$O$41+'TUSD CVA'!$O$41)*(1 - CUSTOS!$M$40)</f>
        <v>0</v>
      </c>
      <c r="P41" s="13">
        <f>('TUSD BE'!$P$41+'TUSD BF'!$P$41+'TUSD CVA'!$P$41)*(1 - CUSTOS!$M$40)</f>
        <v>0</v>
      </c>
      <c r="Q41" s="13">
        <f>('TUSD BE'!$Q$41+'TUSD BF'!$Q$41+'TUSD CVA'!$Q$41)*(1 - CUSTOS!$M$40)</f>
        <v>85.974113193348657</v>
      </c>
      <c r="R41" s="13">
        <f>('TUSD BE'!$R$41+'TUSD BF'!$R$41+'TUSD CVA'!$R$41)*(1 - CUSTOS!$M$40)</f>
        <v>13.5415294208582</v>
      </c>
      <c r="S41" s="13">
        <f>('TUSD BE'!$S$41+'TUSD BF'!$S$41+'TUSD CVA'!$S$41)*(1 - CUSTOS!$M$40)</f>
        <v>0</v>
      </c>
      <c r="T41" s="13">
        <f>('TUSD BE'!$U$41+'TUSD BF'!$U$41+'TUSD CVA'!$U$41)*(1 - CUSTOS!$M$40)</f>
        <v>0</v>
      </c>
      <c r="U41" s="13">
        <f>('TUSD BE'!$V$41+'TUSD BF'!$V$41+'TUSD CVA'!$V$41)*(1 - CUSTOS!$M$40)</f>
        <v>0</v>
      </c>
      <c r="V41" s="13">
        <f>('TUSD BE'!$W$41+'TUSD BF'!$W$41+'TUSD CVA'!$W$41)*(1 - CUSTOS!$M$40)</f>
        <v>0</v>
      </c>
      <c r="W41" s="13">
        <f>('TUSD BE'!$X$41+'TUSD BF'!$X$41+'TUSD CVA'!$X$41)*(1 - CUSTOS!$M$40)</f>
        <v>0</v>
      </c>
      <c r="X41" s="13">
        <f>('TUSD BE'!$Y$41+'TUSD BF'!$Y$41+'TUSD CVA'!$Y$41)*(1 - CUSTOS!$M$40)</f>
        <v>128.36063153285821</v>
      </c>
      <c r="Y41" s="13">
        <f>('TUSD BE'!$Z$41+'TUSD BF'!$Z$41+'TUSD CVA'!$Z$41)*(1 - CUSTOS!$M$40)</f>
        <v>0</v>
      </c>
      <c r="Z41" s="13">
        <f>('TUSD BE'!$AA$41+'TUSD BF'!$AA$41+'TUSD CVA'!$AA$41)*(1 - CUSTOS!$M$40)</f>
        <v>0</v>
      </c>
      <c r="AA41" s="13">
        <f>('TUSD BE'!$AC$41+'TUSD BF'!$AC$41+'TUSD CVA'!$AC$41)*(1 - CUSTOS!$M$40)</f>
        <v>374.79375648645146</v>
      </c>
      <c r="AB41" s="13">
        <f ca="1">('TUSD BE'!$AE$41+'TUSD BF'!$AE$41+'TUSD CVA'!$AE$41)*(1 - CUSTOS!$M$40)</f>
        <v>-11.246003939944018</v>
      </c>
      <c r="AC41" s="13">
        <f ca="1">('TUSD BE'!$AF$41+'TUSD BF'!$AF$41+'TUSD CVA'!$AF$41)*(1 - CUSTOS!$M$40)</f>
        <v>0</v>
      </c>
      <c r="AD41" s="13">
        <f>('TUSD BE'!$AH$41+'TUSD BF'!$AH$41+'TUSD CVA'!$AH$41)*(1 - CUSTOS!$M$40)</f>
        <v>22.456784044689055</v>
      </c>
      <c r="AE41" s="13">
        <f>('TUSD BE'!$AI$41+'TUSD BF'!$AI$41+'TUSD CVA'!$AI$41)*(1 - CUSTOS!$M$40)</f>
        <v>0</v>
      </c>
      <c r="AF41" s="13">
        <f ca="1">('TUSD BE'!$AJ$41+'TUSD BF'!$AJ$41+'TUSD CVA'!$AJ$41)*(1 - CUSTOS!$M$40)</f>
        <v>0</v>
      </c>
      <c r="AG41" s="13">
        <f ca="1">('TUSD BE'!$AK$41+'TUSD BF'!$AK$41+'TUSD CVA'!$AK$41)*(1 - CUSTOS!$M$40)</f>
        <v>0</v>
      </c>
      <c r="AI41" s="13">
        <v>0</v>
      </c>
      <c r="AJ41" s="13">
        <v>1.8798815363129799</v>
      </c>
      <c r="AK41" s="13">
        <v>0</v>
      </c>
      <c r="AL41" s="13">
        <v>0</v>
      </c>
      <c r="AM41" s="13">
        <v>0</v>
      </c>
      <c r="AN41" s="13">
        <v>50.134716442720602</v>
      </c>
      <c r="AO41" s="13">
        <v>7.7826520336869196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87.029267817816006</v>
      </c>
      <c r="AV41" s="13">
        <v>0</v>
      </c>
      <c r="AW41" s="13">
        <v>0</v>
      </c>
      <c r="AX41" s="13">
        <v>294.75698628450499</v>
      </c>
      <c r="AY41" s="13">
        <v>0</v>
      </c>
      <c r="AZ41" s="13">
        <v>0</v>
      </c>
      <c r="BA41" s="13">
        <v>26.164669810849801</v>
      </c>
      <c r="BB41" s="13">
        <v>0</v>
      </c>
      <c r="BC41" s="13">
        <v>0</v>
      </c>
      <c r="BD41" s="13">
        <v>0</v>
      </c>
    </row>
    <row r="42" spans="1:56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>
        <f>('TUSD BE'!$L$42+'TUSD BF'!$L$42+'TUSD CVA'!$L$42)*(1 - CUSTOS!$M$38)</f>
        <v>0</v>
      </c>
      <c r="M42" s="13">
        <f>('TUSD BE'!$M$42+'TUSD BF'!$M$42+'TUSD CVA'!$M$42)*(1 - CUSTOS!$M$38)</f>
        <v>2.6531875288128748</v>
      </c>
      <c r="N42" s="13">
        <f ca="1">('TUSD BE'!$N$42+'TUSD BF'!$N$42+'TUSD CVA'!$N$42)*(1 - CUSTOS!$M$38)</f>
        <v>0</v>
      </c>
      <c r="O42" s="13">
        <f>('TUSD BE'!$O$42+'TUSD BF'!$O$42+'TUSD CVA'!$O$42)*(1 - CUSTOS!$M$38)</f>
        <v>0</v>
      </c>
      <c r="P42" s="13">
        <f>('TUSD BE'!$P$42+'TUSD BF'!$P$42+'TUSD CVA'!$P$42)*(1 - CUSTOS!$M$38)</f>
        <v>0</v>
      </c>
      <c r="Q42" s="13">
        <f>('TUSD BE'!$Q$42+'TUSD BF'!$Q$42+'TUSD CVA'!$Q$42)*(1 - CUSTOS!$M$38)</f>
        <v>87.843115654073628</v>
      </c>
      <c r="R42" s="13">
        <f>('TUSD BE'!$R$42+'TUSD BF'!$R$42+'TUSD CVA'!$R$42)*(1 - CUSTOS!$M$38)</f>
        <v>13.835910495224681</v>
      </c>
      <c r="S42" s="13">
        <f>('TUSD BE'!$S$42+'TUSD BF'!$S$42+'TUSD CVA'!$S$42)*(1 - CUSTOS!$M$38)</f>
        <v>0</v>
      </c>
      <c r="T42" s="13">
        <f>('TUSD BE'!$U$42+'TUSD BF'!$U$42+'TUSD CVA'!$U$42)*(1 - CUSTOS!$M$38)</f>
        <v>0</v>
      </c>
      <c r="U42" s="13">
        <f>('TUSD BE'!$V$42+'TUSD BF'!$V$42+'TUSD CVA'!$V$42)*(1 - CUSTOS!$M$38)</f>
        <v>0</v>
      </c>
      <c r="V42" s="13">
        <f>('TUSD BE'!$W$42+'TUSD BF'!$W$42+'TUSD CVA'!$W$42)*(1 - CUSTOS!$M$38)</f>
        <v>0</v>
      </c>
      <c r="W42" s="13">
        <f>('TUSD BE'!$X$42+'TUSD BF'!$X$42+'TUSD CVA'!$X$42)*(1 - CUSTOS!$M$38)</f>
        <v>0</v>
      </c>
      <c r="X42" s="13">
        <f>('TUSD BE'!$Y$42+'TUSD BF'!$Y$42+'TUSD CVA'!$Y$42)*(1 - CUSTOS!$M$38)</f>
        <v>131.15108004444207</v>
      </c>
      <c r="Y42" s="13">
        <f>('TUSD BE'!$Z$42+'TUSD BF'!$Z$42+'TUSD CVA'!$Z$42)*(1 - CUSTOS!$M$38)</f>
        <v>0</v>
      </c>
      <c r="Z42" s="13">
        <f>('TUSD BE'!$AA$42+'TUSD BF'!$AA$42+'TUSD CVA'!$AA$42)*(1 - CUSTOS!$M$38)</f>
        <v>0</v>
      </c>
      <c r="AA42" s="13">
        <f>('TUSD BE'!$AC$42+'TUSD BF'!$AC$42+'TUSD CVA'!$AC$42)*(1 - CUSTOS!$M$38)</f>
        <v>382.94144684485258</v>
      </c>
      <c r="AB42" s="13">
        <f ca="1">('TUSD BE'!$AE$42+'TUSD BF'!$AE$42+'TUSD CVA'!$AE$42)*(1 - CUSTOS!$M$38)</f>
        <v>-11.490482286464539</v>
      </c>
      <c r="AC42" s="13">
        <f ca="1">('TUSD BE'!$AF$42+'TUSD BF'!$AF$42+'TUSD CVA'!$AF$42)*(1 - CUSTOS!$M$38)</f>
        <v>0</v>
      </c>
      <c r="AD42" s="13">
        <f>('TUSD BE'!$AH$42+'TUSD BF'!$AH$42+'TUSD CVA'!$AH$42)*(1 - CUSTOS!$M$38)</f>
        <v>22.944975002182293</v>
      </c>
      <c r="AE42" s="13">
        <f>('TUSD BE'!$AI$42+'TUSD BF'!$AI$42+'TUSD CVA'!$AI$42)*(1 - CUSTOS!$M$38)</f>
        <v>0</v>
      </c>
      <c r="AF42" s="13">
        <f ca="1">('TUSD BE'!$AJ$42+'TUSD BF'!$AJ$42+'TUSD CVA'!$AJ$42)*(1 - CUSTOS!$M$38)</f>
        <v>0</v>
      </c>
      <c r="AG42" s="13">
        <f ca="1">('TUSD BE'!$AK$42+'TUSD BF'!$AK$42+'TUSD CVA'!$AK$42)*(1 - CUSTOS!$M$38)</f>
        <v>0</v>
      </c>
      <c r="AI42" s="13">
        <v>0</v>
      </c>
      <c r="AJ42" s="13">
        <v>1.9693997047088401</v>
      </c>
      <c r="AK42" s="13">
        <v>0</v>
      </c>
      <c r="AL42" s="13">
        <v>0</v>
      </c>
      <c r="AM42" s="13">
        <v>0</v>
      </c>
      <c r="AN42" s="13">
        <v>52.522083892373999</v>
      </c>
      <c r="AO42" s="13">
        <v>8.1532545114815402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91.1735186662834</v>
      </c>
      <c r="AV42" s="13">
        <v>0</v>
      </c>
      <c r="AW42" s="13">
        <v>0</v>
      </c>
      <c r="AX42" s="13">
        <v>308.79303325043401</v>
      </c>
      <c r="AY42" s="13">
        <v>0</v>
      </c>
      <c r="AZ42" s="13">
        <v>0</v>
      </c>
      <c r="BA42" s="13">
        <v>27.4106064685094</v>
      </c>
      <c r="BB42" s="13">
        <v>0</v>
      </c>
      <c r="BC42" s="13">
        <v>0</v>
      </c>
      <c r="BD42" s="13">
        <v>0</v>
      </c>
    </row>
    <row r="43" spans="1:56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>
        <f>('TUSD BE'!$L$43+'TUSD BF'!$L$43+'TUSD CVA'!$L$43)*(1 - CUSTOS!$M$39)</f>
        <v>0</v>
      </c>
      <c r="M43" s="13">
        <f>('TUSD BE'!$M$43+'TUSD BF'!$M$43+'TUSD CVA'!$M$43)*(1 - CUSTOS!$M$39)</f>
        <v>2.6531875288128748</v>
      </c>
      <c r="N43" s="13">
        <f ca="1">('TUSD BE'!$N$43+'TUSD BF'!$N$43+'TUSD CVA'!$N$43)*(1 - CUSTOS!$M$39)</f>
        <v>0</v>
      </c>
      <c r="O43" s="13">
        <f>('TUSD BE'!$O$43+'TUSD BF'!$O$43+'TUSD CVA'!$O$43)*(1 - CUSTOS!$M$39)</f>
        <v>0</v>
      </c>
      <c r="P43" s="13">
        <f>('TUSD BE'!$P$43+'TUSD BF'!$P$43+'TUSD CVA'!$P$43)*(1 - CUSTOS!$M$39)</f>
        <v>0</v>
      </c>
      <c r="Q43" s="13">
        <f>('TUSD BE'!$Q$43+'TUSD BF'!$Q$43+'TUSD CVA'!$Q$43)*(1 - CUSTOS!$M$39)</f>
        <v>87.843115654073628</v>
      </c>
      <c r="R43" s="13">
        <f>('TUSD BE'!$R$43+'TUSD BF'!$R$43+'TUSD CVA'!$R$43)*(1 - CUSTOS!$M$39)</f>
        <v>13.835910495224681</v>
      </c>
      <c r="S43" s="13">
        <f>('TUSD BE'!$S$43+'TUSD BF'!$S$43+'TUSD CVA'!$S$43)*(1 - CUSTOS!$M$39)</f>
        <v>0</v>
      </c>
      <c r="T43" s="13">
        <f>('TUSD BE'!$U$43+'TUSD BF'!$U$43+'TUSD CVA'!$U$43)*(1 - CUSTOS!$M$39)</f>
        <v>0</v>
      </c>
      <c r="U43" s="13">
        <f>('TUSD BE'!$V$43+'TUSD BF'!$V$43+'TUSD CVA'!$V$43)*(1 - CUSTOS!$M$39)</f>
        <v>0</v>
      </c>
      <c r="V43" s="13">
        <f>('TUSD BE'!$W$43+'TUSD BF'!$W$43+'TUSD CVA'!$W$43)*(1 - CUSTOS!$M$39)</f>
        <v>0</v>
      </c>
      <c r="W43" s="13">
        <f>('TUSD BE'!$X$43+'TUSD BF'!$X$43+'TUSD CVA'!$X$43)*(1 - CUSTOS!$M$39)</f>
        <v>0</v>
      </c>
      <c r="X43" s="13">
        <f>('TUSD BE'!$Y$43+'TUSD BF'!$Y$43+'TUSD CVA'!$Y$43)*(1 - CUSTOS!$M$39)</f>
        <v>131.15108004444207</v>
      </c>
      <c r="Y43" s="13">
        <f>('TUSD BE'!$Z$43+'TUSD BF'!$Z$43+'TUSD CVA'!$Z$43)*(1 - CUSTOS!$M$39)</f>
        <v>0</v>
      </c>
      <c r="Z43" s="13">
        <f>('TUSD BE'!$AA$43+'TUSD BF'!$AA$43+'TUSD CVA'!$AA$43)*(1 - CUSTOS!$M$39)</f>
        <v>0</v>
      </c>
      <c r="AA43" s="13">
        <f>('TUSD BE'!$AC$43+'TUSD BF'!$AC$43+'TUSD CVA'!$AC$43)*(1 - CUSTOS!$M$39)</f>
        <v>382.94144684485258</v>
      </c>
      <c r="AB43" s="13">
        <f ca="1">('TUSD BE'!$AE$43+'TUSD BF'!$AE$43+'TUSD CVA'!$AE$43)*(1 - CUSTOS!$M$39)</f>
        <v>-11.490482286464539</v>
      </c>
      <c r="AC43" s="13">
        <f ca="1">('TUSD BE'!$AF$43+'TUSD BF'!$AF$43+'TUSD CVA'!$AF$43)*(1 - CUSTOS!$M$39)</f>
        <v>0</v>
      </c>
      <c r="AD43" s="13">
        <f>('TUSD BE'!$AH$43+'TUSD BF'!$AH$43+'TUSD CVA'!$AH$43)*(1 - CUSTOS!$M$39)</f>
        <v>22.944975002182293</v>
      </c>
      <c r="AE43" s="13">
        <f>('TUSD BE'!$AI$43+'TUSD BF'!$AI$43+'TUSD CVA'!$AI$43)*(1 - CUSTOS!$M$39)</f>
        <v>0</v>
      </c>
      <c r="AF43" s="13">
        <f ca="1">('TUSD BE'!$AJ$43+'TUSD BF'!$AJ$43+'TUSD CVA'!$AJ$43)*(1 - CUSTOS!$M$39)</f>
        <v>0</v>
      </c>
      <c r="AG43" s="13">
        <f ca="1">('TUSD BE'!$AK$43+'TUSD BF'!$AK$43+'TUSD CVA'!$AK$43)*(1 - CUSTOS!$M$39)</f>
        <v>0</v>
      </c>
      <c r="AI43" s="13">
        <v>0</v>
      </c>
      <c r="AJ43" s="13">
        <v>1.9693997047088401</v>
      </c>
      <c r="AK43" s="13">
        <v>0</v>
      </c>
      <c r="AL43" s="13">
        <v>0</v>
      </c>
      <c r="AM43" s="13">
        <v>0</v>
      </c>
      <c r="AN43" s="13">
        <v>52.522083892373999</v>
      </c>
      <c r="AO43" s="13">
        <v>8.1532545114815402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91.1735186662834</v>
      </c>
      <c r="AV43" s="13">
        <v>0</v>
      </c>
      <c r="AW43" s="13">
        <v>0</v>
      </c>
      <c r="AX43" s="13">
        <v>308.79303325043401</v>
      </c>
      <c r="AY43" s="13">
        <v>0</v>
      </c>
      <c r="AZ43" s="13">
        <v>0</v>
      </c>
      <c r="BA43" s="13">
        <v>27.4106064685094</v>
      </c>
      <c r="BB43" s="13">
        <v>0</v>
      </c>
      <c r="BC43" s="13">
        <v>0</v>
      </c>
      <c r="BD43" s="13">
        <v>0</v>
      </c>
    </row>
    <row r="44" spans="1:56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>
        <f>('TUSD BE'!$L$44+'TUSD BF'!$L$44+'TUSD CVA'!$L$44)*(1 - CUSTOS!$M$40)</f>
        <v>0</v>
      </c>
      <c r="M44" s="13">
        <f>('TUSD BE'!$M$44+'TUSD BF'!$M$44+'TUSD CVA'!$M$44)*(1 - CUSTOS!$M$40)</f>
        <v>2.5967367303274949</v>
      </c>
      <c r="N44" s="13">
        <f ca="1">('TUSD BE'!$N$44+'TUSD BF'!$N$44+'TUSD CVA'!$N$44)*(1 - CUSTOS!$M$40)</f>
        <v>0</v>
      </c>
      <c r="O44" s="13">
        <f>('TUSD BE'!$O$44+'TUSD BF'!$O$44+'TUSD CVA'!$O$44)*(1 - CUSTOS!$M$40)</f>
        <v>0</v>
      </c>
      <c r="P44" s="13">
        <f>('TUSD BE'!$P$44+'TUSD BF'!$P$44+'TUSD CVA'!$P$44)*(1 - CUSTOS!$M$40)</f>
        <v>0</v>
      </c>
      <c r="Q44" s="13">
        <f>('TUSD BE'!$Q$44+'TUSD BF'!$Q$44+'TUSD CVA'!$Q$44)*(1 - CUSTOS!$M$40)</f>
        <v>85.974113193348657</v>
      </c>
      <c r="R44" s="13">
        <f>('TUSD BE'!$R$44+'TUSD BF'!$R$44+'TUSD CVA'!$R$44)*(1 - CUSTOS!$M$40)</f>
        <v>13.5415294208582</v>
      </c>
      <c r="S44" s="13">
        <f>('TUSD BE'!$S$44+'TUSD BF'!$S$44+'TUSD CVA'!$S$44)*(1 - CUSTOS!$M$40)</f>
        <v>0</v>
      </c>
      <c r="T44" s="13">
        <f>('TUSD BE'!$U$44+'TUSD BF'!$U$44+'TUSD CVA'!$U$44)*(1 - CUSTOS!$M$40)</f>
        <v>0</v>
      </c>
      <c r="U44" s="13">
        <f>('TUSD BE'!$V$44+'TUSD BF'!$V$44+'TUSD CVA'!$V$44)*(1 - CUSTOS!$M$40)</f>
        <v>0</v>
      </c>
      <c r="V44" s="13">
        <f>('TUSD BE'!$W$44+'TUSD BF'!$W$44+'TUSD CVA'!$W$44)*(1 - CUSTOS!$M$40)</f>
        <v>0</v>
      </c>
      <c r="W44" s="13">
        <f>('TUSD BE'!$X$44+'TUSD BF'!$X$44+'TUSD CVA'!$X$44)*(1 - CUSTOS!$M$40)</f>
        <v>0</v>
      </c>
      <c r="X44" s="13">
        <f>('TUSD BE'!$Y$44+'TUSD BF'!$Y$44+'TUSD CVA'!$Y$44)*(1 - CUSTOS!$M$40)</f>
        <v>128.36063153285821</v>
      </c>
      <c r="Y44" s="13">
        <f>('TUSD BE'!$Z$44+'TUSD BF'!$Z$44+'TUSD CVA'!$Z$44)*(1 - CUSTOS!$M$40)</f>
        <v>0</v>
      </c>
      <c r="Z44" s="13">
        <f>('TUSD BE'!$AA$44+'TUSD BF'!$AA$44+'TUSD CVA'!$AA$44)*(1 - CUSTOS!$M$40)</f>
        <v>0</v>
      </c>
      <c r="AA44" s="13">
        <f>('TUSD BE'!$AC$44+'TUSD BF'!$AC$44+'TUSD CVA'!$AC$44)*(1 - CUSTOS!$M$40)</f>
        <v>374.79375648645146</v>
      </c>
      <c r="AB44" s="13">
        <f ca="1">('TUSD BE'!$AE$44+'TUSD BF'!$AE$44+'TUSD CVA'!$AE$44)*(1 - CUSTOS!$M$40)</f>
        <v>-11.246003939944018</v>
      </c>
      <c r="AC44" s="13">
        <f ca="1">('TUSD BE'!$AF$44+'TUSD BF'!$AF$44+'TUSD CVA'!$AF$44)*(1 - CUSTOS!$M$40)</f>
        <v>0</v>
      </c>
      <c r="AD44" s="13">
        <f>('TUSD BE'!$AH$44+'TUSD BF'!$AH$44+'TUSD CVA'!$AH$44)*(1 - CUSTOS!$M$40)</f>
        <v>22.456784044689055</v>
      </c>
      <c r="AE44" s="13">
        <f>('TUSD BE'!$AI$44+'TUSD BF'!$AI$44+'TUSD CVA'!$AI$44)*(1 - CUSTOS!$M$40)</f>
        <v>0</v>
      </c>
      <c r="AF44" s="13">
        <f ca="1">('TUSD BE'!$AJ$44+'TUSD BF'!$AJ$44+'TUSD CVA'!$AJ$44)*(1 - CUSTOS!$M$40)</f>
        <v>0</v>
      </c>
      <c r="AG44" s="13">
        <f ca="1">('TUSD BE'!$AK$44+'TUSD BF'!$AK$44+'TUSD CVA'!$AK$44)*(1 - CUSTOS!$M$40)</f>
        <v>0</v>
      </c>
      <c r="AI44" s="13">
        <v>0</v>
      </c>
      <c r="AJ44" s="13">
        <v>1.8798815363129799</v>
      </c>
      <c r="AK44" s="13">
        <v>0</v>
      </c>
      <c r="AL44" s="13">
        <v>0</v>
      </c>
      <c r="AM44" s="13">
        <v>0</v>
      </c>
      <c r="AN44" s="13">
        <v>50.134716442720602</v>
      </c>
      <c r="AO44" s="13">
        <v>7.7826520336869196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87.029267817816006</v>
      </c>
      <c r="AV44" s="13">
        <v>0</v>
      </c>
      <c r="AW44" s="13">
        <v>0</v>
      </c>
      <c r="AX44" s="13">
        <v>294.75698628450499</v>
      </c>
      <c r="AY44" s="13">
        <v>0</v>
      </c>
      <c r="AZ44" s="13">
        <v>0</v>
      </c>
      <c r="BA44" s="13">
        <v>26.164669810849801</v>
      </c>
      <c r="BB44" s="13">
        <v>0</v>
      </c>
      <c r="BC44" s="13">
        <v>0</v>
      </c>
      <c r="BD44" s="13">
        <v>0</v>
      </c>
    </row>
    <row r="45" spans="1:56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>
        <f>('TUSD BE'!$L$45+'TUSD BF'!$L$45+'TUSD CVA'!$L$45)*1</f>
        <v>0</v>
      </c>
      <c r="M45" s="13">
        <f>('TUSD BE'!$M$45+'TUSD BF'!$M$45+'TUSD CVA'!$M$45)*1</f>
        <v>2.8225399242690159</v>
      </c>
      <c r="N45" s="13">
        <f ca="1">('TUSD BE'!$N$45+'TUSD BF'!$N$45+'TUSD CVA'!$N$45)*1</f>
        <v>0</v>
      </c>
      <c r="O45" s="13">
        <f>('TUSD BE'!$O$45+'TUSD BF'!$O$45+'TUSD CVA'!$O$45)*1</f>
        <v>0</v>
      </c>
      <c r="P45" s="13">
        <f>('TUSD BE'!$P$45+'TUSD BF'!$P$45+'TUSD CVA'!$P$45)*1</f>
        <v>0</v>
      </c>
      <c r="Q45" s="13">
        <f>('TUSD BE'!$Q$45+'TUSD BF'!$Q$45+'TUSD CVA'!$Q$45)*1</f>
        <v>93.450123036248542</v>
      </c>
      <c r="R45" s="13">
        <f>('TUSD BE'!$R$45+'TUSD BF'!$R$45+'TUSD CVA'!$R$45)*1</f>
        <v>14.71905371832413</v>
      </c>
      <c r="S45" s="13">
        <f>('TUSD BE'!$S$45+'TUSD BF'!$S$45+'TUSD CVA'!$S$45)*1</f>
        <v>0</v>
      </c>
      <c r="T45" s="13">
        <f>('TUSD BE'!$U$45+'TUSD BF'!$U$45+'TUSD CVA'!$U$45)*1</f>
        <v>0</v>
      </c>
      <c r="U45" s="13">
        <f>('TUSD BE'!$V$45+'TUSD BF'!$V$45+'TUSD CVA'!$V$45)*1</f>
        <v>0</v>
      </c>
      <c r="V45" s="13">
        <f>('TUSD BE'!$W$45+'TUSD BF'!$W$45+'TUSD CVA'!$W$45)*1</f>
        <v>0</v>
      </c>
      <c r="W45" s="13">
        <f>('TUSD BE'!$X$45+'TUSD BF'!$X$45+'TUSD CVA'!$X$45)*1</f>
        <v>0</v>
      </c>
      <c r="X45" s="13">
        <f>('TUSD BE'!$Y$45+'TUSD BF'!$Y$45+'TUSD CVA'!$Y$45)*1</f>
        <v>481.27360636039901</v>
      </c>
      <c r="Y45" s="13">
        <f>('TUSD BE'!$Z$45+'TUSD BF'!$Z$45+'TUSD CVA'!$Z$45)*1</f>
        <v>0</v>
      </c>
      <c r="Z45" s="13">
        <f>('TUSD BE'!$AA$45+'TUSD BF'!$AA$45+'TUSD CVA'!$AA$45)*1</f>
        <v>0</v>
      </c>
      <c r="AA45" s="13">
        <f>('TUSD BE'!$AC$45+'TUSD BF'!$AC$45+'TUSD CVA'!$AC$45)*1</f>
        <v>1405.4765990906903</v>
      </c>
      <c r="AB45" s="13">
        <f ca="1">('TUSD BE'!$AE$45+'TUSD BF'!$AE$45+'TUSD CVA'!$AE$45)*1</f>
        <v>-37.539044138616177</v>
      </c>
      <c r="AC45" s="13">
        <f ca="1">('TUSD BE'!$AF$45+'TUSD BF'!$AF$45+'TUSD CVA'!$AF$45)*1</f>
        <v>0</v>
      </c>
      <c r="AD45" s="13">
        <f>('TUSD BE'!$AH$45+'TUSD BF'!$AH$45+'TUSD CVA'!$AH$45)*1</f>
        <v>24.409547874662014</v>
      </c>
      <c r="AE45" s="13">
        <f>('TUSD BE'!$AI$45+'TUSD BF'!$AI$45+'TUSD CVA'!$AI$45)*1</f>
        <v>0</v>
      </c>
      <c r="AF45" s="13">
        <f ca="1">('TUSD BE'!$AJ$45+'TUSD BF'!$AJ$45+'TUSD CVA'!$AJ$45)*1</f>
        <v>0</v>
      </c>
      <c r="AG45" s="13">
        <f ca="1">('TUSD BE'!$AK$45+'TUSD BF'!$AK$45+'TUSD CVA'!$AK$45)*1</f>
        <v>0</v>
      </c>
      <c r="AI45" s="13">
        <v>0</v>
      </c>
      <c r="AJ45" s="13">
        <v>2.2379542098964098</v>
      </c>
      <c r="AK45" s="13">
        <v>0</v>
      </c>
      <c r="AL45" s="13">
        <v>0</v>
      </c>
      <c r="AM45" s="13">
        <v>0</v>
      </c>
      <c r="AN45" s="13">
        <v>59.684186241334103</v>
      </c>
      <c r="AO45" s="13">
        <v>9.2650619448653906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357.38330407976702</v>
      </c>
      <c r="AV45" s="13">
        <v>0</v>
      </c>
      <c r="AW45" s="13">
        <v>0</v>
      </c>
      <c r="AX45" s="13">
        <v>1210.6090547505901</v>
      </c>
      <c r="AY45" s="13">
        <v>0</v>
      </c>
      <c r="AZ45" s="13">
        <v>0</v>
      </c>
      <c r="BA45" s="13">
        <v>31.1484164414879</v>
      </c>
      <c r="BB45" s="13">
        <v>0</v>
      </c>
      <c r="BC45" s="13">
        <v>0</v>
      </c>
      <c r="BD45" s="13">
        <v>0</v>
      </c>
    </row>
    <row r="46" spans="1:56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>
        <f>('TUSD BE'!$L$46+'TUSD BF'!$L$46+'TUSD CVA'!$L$46)*1</f>
        <v>0</v>
      </c>
      <c r="M46" s="13">
        <f>('TUSD BE'!$M$46+'TUSD BF'!$M$46+'TUSD CVA'!$M$46)*1</f>
        <v>2.8225399242690159</v>
      </c>
      <c r="N46" s="13">
        <f ca="1">('TUSD BE'!$N$46+'TUSD BF'!$N$46+'TUSD CVA'!$N$46)*1</f>
        <v>0</v>
      </c>
      <c r="O46" s="13">
        <f>('TUSD BE'!$O$46+'TUSD BF'!$O$46+'TUSD CVA'!$O$46)*1</f>
        <v>0</v>
      </c>
      <c r="P46" s="13">
        <f>('TUSD BE'!$P$46+'TUSD BF'!$P$46+'TUSD CVA'!$P$46)*1</f>
        <v>0</v>
      </c>
      <c r="Q46" s="13">
        <f>('TUSD BE'!$Q$46+'TUSD BF'!$Q$46+'TUSD CVA'!$Q$46)*1</f>
        <v>93.450123036248542</v>
      </c>
      <c r="R46" s="13">
        <f>('TUSD BE'!$R$46+'TUSD BF'!$R$46+'TUSD CVA'!$R$46)*1</f>
        <v>14.71905371832413</v>
      </c>
      <c r="S46" s="13">
        <f>('TUSD BE'!$S$46+'TUSD BF'!$S$46+'TUSD CVA'!$S$46)*1</f>
        <v>0</v>
      </c>
      <c r="T46" s="13">
        <f>('TUSD BE'!$U$46+'TUSD BF'!$U$46+'TUSD CVA'!$U$46)*1</f>
        <v>0</v>
      </c>
      <c r="U46" s="13">
        <f>('TUSD BE'!$V$46+'TUSD BF'!$V$46+'TUSD CVA'!$V$46)*1</f>
        <v>0</v>
      </c>
      <c r="V46" s="13">
        <f>('TUSD BE'!$W$46+'TUSD BF'!$W$46+'TUSD CVA'!$W$46)*1</f>
        <v>0</v>
      </c>
      <c r="W46" s="13">
        <f>('TUSD BE'!$X$46+'TUSD BF'!$X$46+'TUSD CVA'!$X$46)*1</f>
        <v>0</v>
      </c>
      <c r="X46" s="13">
        <f>('TUSD BE'!$Y$46+'TUSD BF'!$Y$46+'TUSD CVA'!$Y$46)*1</f>
        <v>288.70146054904723</v>
      </c>
      <c r="Y46" s="13">
        <f>('TUSD BE'!$Z$46+'TUSD BF'!$Z$46+'TUSD CVA'!$Z$46)*1</f>
        <v>0</v>
      </c>
      <c r="Z46" s="13">
        <f>('TUSD BE'!$AA$46+'TUSD BF'!$AA$46+'TUSD CVA'!$AA$46)*1</f>
        <v>0</v>
      </c>
      <c r="AA46" s="13">
        <f>('TUSD BE'!$AC$46+'TUSD BF'!$AC$46+'TUSD CVA'!$AC$46)*1</f>
        <v>843.28602487573244</v>
      </c>
      <c r="AB46" s="13">
        <f ca="1">('TUSD BE'!$AE$46+'TUSD BF'!$AE$46+'TUSD CVA'!$AE$46)*1</f>
        <v>-23.278797502275921</v>
      </c>
      <c r="AC46" s="13">
        <f ca="1">('TUSD BE'!$AF$46+'TUSD BF'!$AF$46+'TUSD CVA'!$AF$46)*1</f>
        <v>0</v>
      </c>
      <c r="AD46" s="13">
        <f>('TUSD BE'!$AH$46+'TUSD BF'!$AH$46+'TUSD CVA'!$AH$46)*1</f>
        <v>24.409547874662014</v>
      </c>
      <c r="AE46" s="13">
        <f>('TUSD BE'!$AI$46+'TUSD BF'!$AI$46+'TUSD CVA'!$AI$46)*1</f>
        <v>0</v>
      </c>
      <c r="AF46" s="13">
        <f ca="1">('TUSD BE'!$AJ$46+'TUSD BF'!$AJ$46+'TUSD CVA'!$AJ$46)*1</f>
        <v>0</v>
      </c>
      <c r="AG46" s="13">
        <f ca="1">('TUSD BE'!$AK$46+'TUSD BF'!$AK$46+'TUSD CVA'!$AK$46)*1</f>
        <v>0</v>
      </c>
      <c r="AI46" s="13">
        <v>0</v>
      </c>
      <c r="AJ46" s="13">
        <v>2.2379542098964098</v>
      </c>
      <c r="AK46" s="13">
        <v>0</v>
      </c>
      <c r="AL46" s="13">
        <v>0</v>
      </c>
      <c r="AM46" s="13">
        <v>0</v>
      </c>
      <c r="AN46" s="13">
        <v>59.684186241334103</v>
      </c>
      <c r="AO46" s="13">
        <v>9.2650619448653906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214.38343402538601</v>
      </c>
      <c r="AV46" s="13">
        <v>0</v>
      </c>
      <c r="AW46" s="13">
        <v>0</v>
      </c>
      <c r="AX46" s="13">
        <v>726.36549587803495</v>
      </c>
      <c r="AY46" s="13">
        <v>0</v>
      </c>
      <c r="AZ46" s="13">
        <v>0</v>
      </c>
      <c r="BA46" s="13">
        <v>31.1484164414879</v>
      </c>
      <c r="BB46" s="13">
        <v>0</v>
      </c>
      <c r="BC46" s="13">
        <v>0</v>
      </c>
      <c r="BD46" s="13">
        <v>0</v>
      </c>
    </row>
    <row r="47" spans="1:56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>
        <f>('TUSD BE'!$L$47+'TUSD BF'!$L$47+'TUSD CVA'!$L$47)*1</f>
        <v>0</v>
      </c>
      <c r="M47" s="13">
        <f>('TUSD BE'!$M$47+'TUSD BF'!$M$47+'TUSD CVA'!$M$47)*1</f>
        <v>2.8225399242690159</v>
      </c>
      <c r="N47" s="13">
        <f ca="1">('TUSD BE'!$N$47+'TUSD BF'!$N$47+'TUSD CVA'!$N$47)*1</f>
        <v>0</v>
      </c>
      <c r="O47" s="13">
        <f>('TUSD BE'!$O$47+'TUSD BF'!$O$47+'TUSD CVA'!$O$47)*1</f>
        <v>0</v>
      </c>
      <c r="P47" s="13">
        <f>('TUSD BE'!$P$47+'TUSD BF'!$P$47+'TUSD CVA'!$P$47)*1</f>
        <v>0</v>
      </c>
      <c r="Q47" s="13">
        <f>('TUSD BE'!$Q$47+'TUSD BF'!$Q$47+'TUSD CVA'!$Q$47)*1</f>
        <v>93.450123036248542</v>
      </c>
      <c r="R47" s="13">
        <f>('TUSD BE'!$R$47+'TUSD BF'!$R$47+'TUSD CVA'!$R$47)*1</f>
        <v>14.71905371832413</v>
      </c>
      <c r="S47" s="13">
        <f>('TUSD BE'!$S$47+'TUSD BF'!$S$47+'TUSD CVA'!$S$47)*1</f>
        <v>0</v>
      </c>
      <c r="T47" s="13">
        <f>('TUSD BE'!$U$47+'TUSD BF'!$U$47+'TUSD CVA'!$U$47)*1</f>
        <v>0</v>
      </c>
      <c r="U47" s="13">
        <f>('TUSD BE'!$V$47+'TUSD BF'!$V$47+'TUSD CVA'!$V$47)*1</f>
        <v>0</v>
      </c>
      <c r="V47" s="13">
        <f>('TUSD BE'!$W$47+'TUSD BF'!$W$47+'TUSD CVA'!$W$47)*1</f>
        <v>0</v>
      </c>
      <c r="W47" s="13">
        <f>('TUSD BE'!$X$47+'TUSD BF'!$X$47+'TUSD CVA'!$X$47)*1</f>
        <v>0</v>
      </c>
      <c r="X47" s="13">
        <f>('TUSD BE'!$Y$47+'TUSD BF'!$Y$47+'TUSD CVA'!$Y$47)*1</f>
        <v>96.254746792335069</v>
      </c>
      <c r="Y47" s="13">
        <f>('TUSD BE'!$Z$47+'TUSD BF'!$Z$47+'TUSD CVA'!$Z$47)*1</f>
        <v>0</v>
      </c>
      <c r="Z47" s="13">
        <f>('TUSD BE'!$AA$47+'TUSD BF'!$AA$47+'TUSD CVA'!$AA$47)*1</f>
        <v>0</v>
      </c>
      <c r="AA47" s="13">
        <f>('TUSD BE'!$AC$47+'TUSD BF'!$AC$47+'TUSD CVA'!$AC$47)*1</f>
        <v>281.09528710747895</v>
      </c>
      <c r="AB47" s="13">
        <f ca="1">('TUSD BE'!$AE$47+'TUSD BF'!$AE$47+'TUSD CVA'!$AE$47)*1</f>
        <v>-9.0203990073133831</v>
      </c>
      <c r="AC47" s="13">
        <f ca="1">('TUSD BE'!$AF$47+'TUSD BF'!$AF$47+'TUSD CVA'!$AF$47)*1</f>
        <v>0</v>
      </c>
      <c r="AD47" s="13">
        <f>('TUSD BE'!$AH$47+'TUSD BF'!$AH$47+'TUSD CVA'!$AH$47)*1</f>
        <v>24.409547874662014</v>
      </c>
      <c r="AE47" s="13">
        <f>('TUSD BE'!$AI$47+'TUSD BF'!$AI$47+'TUSD CVA'!$AI$47)*1</f>
        <v>0</v>
      </c>
      <c r="AF47" s="13">
        <f ca="1">('TUSD BE'!$AJ$47+'TUSD BF'!$AJ$47+'TUSD CVA'!$AJ$47)*1</f>
        <v>0</v>
      </c>
      <c r="AG47" s="13">
        <f ca="1">('TUSD BE'!$AK$47+'TUSD BF'!$AK$47+'TUSD CVA'!$AK$47)*1</f>
        <v>0</v>
      </c>
      <c r="AI47" s="13">
        <v>0</v>
      </c>
      <c r="AJ47" s="13">
        <v>2.2379542098964098</v>
      </c>
      <c r="AK47" s="13">
        <v>0</v>
      </c>
      <c r="AL47" s="13">
        <v>0</v>
      </c>
      <c r="AM47" s="13">
        <v>0</v>
      </c>
      <c r="AN47" s="13">
        <v>59.684186241334103</v>
      </c>
      <c r="AO47" s="13">
        <v>9.2650619448653906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71.476660815953394</v>
      </c>
      <c r="AV47" s="13">
        <v>0</v>
      </c>
      <c r="AW47" s="13">
        <v>0</v>
      </c>
      <c r="AX47" s="13">
        <v>242.12177943627799</v>
      </c>
      <c r="AY47" s="13">
        <v>0</v>
      </c>
      <c r="AZ47" s="13">
        <v>0</v>
      </c>
      <c r="BA47" s="13">
        <v>31.1484164414879</v>
      </c>
      <c r="BB47" s="13">
        <v>0</v>
      </c>
      <c r="BC47" s="13">
        <v>0</v>
      </c>
      <c r="BD47" s="13">
        <v>0</v>
      </c>
    </row>
    <row r="48" spans="1:56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>
        <f>('TUSD BE'!$L$48+'TUSD BF'!$L$48+'TUSD CVA'!$L$48)*1</f>
        <v>0</v>
      </c>
      <c r="M48" s="13">
        <f>('TUSD BE'!$M$48+'TUSD BF'!$M$48+'TUSD CVA'!$M$48)*1</f>
        <v>2.8225399242690159</v>
      </c>
      <c r="N48" s="13">
        <f ca="1">('TUSD BE'!$N$48+'TUSD BF'!$N$48+'TUSD CVA'!$N$48)*1</f>
        <v>0</v>
      </c>
      <c r="O48" s="13">
        <f>('TUSD BE'!$O$48+'TUSD BF'!$O$48+'TUSD CVA'!$O$48)*1</f>
        <v>0</v>
      </c>
      <c r="P48" s="13">
        <f>('TUSD BE'!$P$48+'TUSD BF'!$P$48+'TUSD CVA'!$P$48)*1</f>
        <v>0</v>
      </c>
      <c r="Q48" s="13">
        <f>('TUSD BE'!$Q$48+'TUSD BF'!$Q$48+'TUSD CVA'!$Q$48)*1</f>
        <v>93.450123036248542</v>
      </c>
      <c r="R48" s="13">
        <f>('TUSD BE'!$R$48+'TUSD BF'!$R$48+'TUSD CVA'!$R$48)*1</f>
        <v>14.71905371832413</v>
      </c>
      <c r="S48" s="13">
        <f>('TUSD BE'!$S$48+'TUSD BF'!$S$48+'TUSD CVA'!$S$48)*1</f>
        <v>0</v>
      </c>
      <c r="T48" s="13">
        <f>('TUSD BE'!$U$48+'TUSD BF'!$U$48+'TUSD CVA'!$U$48)*1</f>
        <v>0</v>
      </c>
      <c r="U48" s="13">
        <f>('TUSD BE'!$V$48+'TUSD BF'!$V$48+'TUSD CVA'!$V$48)*1</f>
        <v>0</v>
      </c>
      <c r="V48" s="13">
        <f>('TUSD BE'!$W$48+'TUSD BF'!$W$48+'TUSD CVA'!$W$48)*1</f>
        <v>0</v>
      </c>
      <c r="W48" s="13">
        <f>('TUSD BE'!$X$48+'TUSD BF'!$X$48+'TUSD CVA'!$X$48)*1</f>
        <v>0</v>
      </c>
      <c r="X48" s="13">
        <f>('TUSD BE'!$Y$48+'TUSD BF'!$Y$48+'TUSD CVA'!$Y$48)*1</f>
        <v>139.52242557919371</v>
      </c>
      <c r="Y48" s="13">
        <f>('TUSD BE'!$Z$48+'TUSD BF'!$Z$48+'TUSD CVA'!$Z$48)*1</f>
        <v>0</v>
      </c>
      <c r="Z48" s="13">
        <f>('TUSD BE'!$AA$48+'TUSD BF'!$AA$48+'TUSD CVA'!$AA$48)*1</f>
        <v>0</v>
      </c>
      <c r="AA48" s="13">
        <f>('TUSD BE'!$AC$48+'TUSD BF'!$AC$48+'TUSD CVA'!$AC$48)*1</f>
        <v>407.38451792005594</v>
      </c>
      <c r="AB48" s="13">
        <f ca="1">('TUSD BE'!$AE$48+'TUSD BF'!$AE$48+'TUSD CVA'!$AE$48)*1</f>
        <v>-12.223917326026106</v>
      </c>
      <c r="AC48" s="13">
        <f ca="1">('TUSD BE'!$AF$48+'TUSD BF'!$AF$48+'TUSD CVA'!$AF$48)*1</f>
        <v>0</v>
      </c>
      <c r="AD48" s="13">
        <f>('TUSD BE'!$AH$48+'TUSD BF'!$AH$48+'TUSD CVA'!$AH$48)*1</f>
        <v>24.409547874662014</v>
      </c>
      <c r="AE48" s="13">
        <f>('TUSD BE'!$AI$48+'TUSD BF'!$AI$48+'TUSD CVA'!$AI$48)*1</f>
        <v>0</v>
      </c>
      <c r="AF48" s="13">
        <f ca="1">('TUSD BE'!$AJ$48+'TUSD BF'!$AJ$48+'TUSD CVA'!$AJ$48)*1</f>
        <v>0</v>
      </c>
      <c r="AG48" s="13">
        <f ca="1">('TUSD BE'!$AK$48+'TUSD BF'!$AK$48+'TUSD CVA'!$AK$48)*1</f>
        <v>0</v>
      </c>
      <c r="AI48" s="13">
        <v>0</v>
      </c>
      <c r="AJ48" s="13">
        <v>2.2379542098964098</v>
      </c>
      <c r="AK48" s="13">
        <v>0</v>
      </c>
      <c r="AL48" s="13">
        <v>0</v>
      </c>
      <c r="AM48" s="13">
        <v>0</v>
      </c>
      <c r="AN48" s="13">
        <v>59.684186241334103</v>
      </c>
      <c r="AO48" s="13">
        <v>9.2650619448653906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103.60627121168601</v>
      </c>
      <c r="AV48" s="13">
        <v>0</v>
      </c>
      <c r="AW48" s="13">
        <v>0</v>
      </c>
      <c r="AX48" s="13">
        <v>350.901174148221</v>
      </c>
      <c r="AY48" s="13">
        <v>0</v>
      </c>
      <c r="AZ48" s="13">
        <v>0</v>
      </c>
      <c r="BA48" s="13">
        <v>31.1484164414879</v>
      </c>
      <c r="BB48" s="13">
        <v>0</v>
      </c>
      <c r="BC48" s="13">
        <v>0</v>
      </c>
      <c r="BD48" s="13">
        <v>0</v>
      </c>
    </row>
    <row r="49" spans="1:56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>
        <f>('TUSD BE'!$L$49+'TUSD BF'!$L$49+'TUSD CVA'!$L$49)*1</f>
        <v>0</v>
      </c>
      <c r="M49" s="13">
        <f>('TUSD BE'!$M$49+'TUSD BF'!$M$49+'TUSD CVA'!$M$49)*1</f>
        <v>2.8225399242690159</v>
      </c>
      <c r="N49" s="13">
        <f ca="1">('TUSD BE'!$N$49+'TUSD BF'!$N$49+'TUSD CVA'!$N$49)*1</f>
        <v>0</v>
      </c>
      <c r="O49" s="13">
        <f>('TUSD BE'!$O$49+'TUSD BF'!$O$49+'TUSD CVA'!$O$49)*1</f>
        <v>0</v>
      </c>
      <c r="P49" s="13">
        <f>('TUSD BE'!$P$49+'TUSD BF'!$P$49+'TUSD CVA'!$P$49)*1</f>
        <v>0</v>
      </c>
      <c r="Q49" s="13">
        <f>('TUSD BE'!$Q$49+'TUSD BF'!$Q$49+'TUSD CVA'!$Q$49)*1</f>
        <v>93.450123036248542</v>
      </c>
      <c r="R49" s="13">
        <f>('TUSD BE'!$R$49+'TUSD BF'!$R$49+'TUSD CVA'!$R$49)*1</f>
        <v>14.71905371832413</v>
      </c>
      <c r="S49" s="13">
        <f>('TUSD BE'!$S$49+'TUSD BF'!$S$49+'TUSD CVA'!$S$49)*1</f>
        <v>0</v>
      </c>
      <c r="T49" s="13">
        <f>('TUSD BE'!$U$49+'TUSD BF'!$U$49+'TUSD CVA'!$U$49)*1</f>
        <v>0</v>
      </c>
      <c r="U49" s="13">
        <f>('TUSD BE'!$V$49+'TUSD BF'!$V$49+'TUSD CVA'!$V$49)*1</f>
        <v>0</v>
      </c>
      <c r="V49" s="13">
        <f>('TUSD BE'!$W$49+'TUSD BF'!$W$49+'TUSD CVA'!$W$49)*1</f>
        <v>0</v>
      </c>
      <c r="W49" s="13">
        <f>('TUSD BE'!$X$49+'TUSD BF'!$X$49+'TUSD CVA'!$X$49)*1</f>
        <v>0</v>
      </c>
      <c r="X49" s="13">
        <f>('TUSD BE'!$Y$49+'TUSD BF'!$Y$49+'TUSD CVA'!$Y$49)*1</f>
        <v>139.52242557919371</v>
      </c>
      <c r="Y49" s="13">
        <f>('TUSD BE'!$Z$49+'TUSD BF'!$Z$49+'TUSD CVA'!$Z$49)*1</f>
        <v>0</v>
      </c>
      <c r="Z49" s="13">
        <f>('TUSD BE'!$AA$49+'TUSD BF'!$AA$49+'TUSD CVA'!$AA$49)*1</f>
        <v>0</v>
      </c>
      <c r="AA49" s="13">
        <f>('TUSD BE'!$AC$49+'TUSD BF'!$AC$49+'TUSD CVA'!$AC$49)*1</f>
        <v>407.38451792005594</v>
      </c>
      <c r="AB49" s="13">
        <f ca="1">('TUSD BE'!$AE$49+'TUSD BF'!$AE$49+'TUSD CVA'!$AE$49)*1</f>
        <v>-12.223917326026106</v>
      </c>
      <c r="AC49" s="13">
        <f ca="1">('TUSD BE'!$AF$49+'TUSD BF'!$AF$49+'TUSD CVA'!$AF$49)*1</f>
        <v>0</v>
      </c>
      <c r="AD49" s="13">
        <f>('TUSD BE'!$AH$49+'TUSD BF'!$AH$49+'TUSD CVA'!$AH$49)*1</f>
        <v>24.409547874662014</v>
      </c>
      <c r="AE49" s="13">
        <f>('TUSD BE'!$AI$49+'TUSD BF'!$AI$49+'TUSD CVA'!$AI$49)*1</f>
        <v>0</v>
      </c>
      <c r="AF49" s="13">
        <f ca="1">('TUSD BE'!$AJ$49+'TUSD BF'!$AJ$49+'TUSD CVA'!$AJ$49)*1</f>
        <v>0</v>
      </c>
      <c r="AG49" s="13">
        <f ca="1">('TUSD BE'!$AK$49+'TUSD BF'!$AK$49+'TUSD CVA'!$AK$49)*1</f>
        <v>0</v>
      </c>
      <c r="AI49" s="13">
        <v>0</v>
      </c>
      <c r="AJ49" s="13">
        <v>2.2379542098964098</v>
      </c>
      <c r="AK49" s="13">
        <v>0</v>
      </c>
      <c r="AL49" s="13">
        <v>0</v>
      </c>
      <c r="AM49" s="13">
        <v>0</v>
      </c>
      <c r="AN49" s="13">
        <v>59.684186241334103</v>
      </c>
      <c r="AO49" s="13">
        <v>9.2650619448653906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103.60627121168601</v>
      </c>
      <c r="AV49" s="13">
        <v>0</v>
      </c>
      <c r="AW49" s="13">
        <v>0</v>
      </c>
      <c r="AX49" s="13">
        <v>350.901174148221</v>
      </c>
      <c r="AY49" s="13">
        <v>0</v>
      </c>
      <c r="AZ49" s="13">
        <v>0</v>
      </c>
      <c r="BA49" s="13">
        <v>31.1484164414879</v>
      </c>
      <c r="BB49" s="13">
        <v>0</v>
      </c>
      <c r="BC49" s="13">
        <v>0</v>
      </c>
      <c r="BD49" s="13">
        <v>0</v>
      </c>
    </row>
    <row r="50" spans="1:56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>
        <f>('TUSD BE'!$L$50+'TUSD BF'!$L$50+'TUSD CVA'!$L$50)*1</f>
        <v>0</v>
      </c>
      <c r="M50" s="13">
        <f>('TUSD BE'!$M$50+'TUSD BF'!$M$50+'TUSD CVA'!$M$50)*1</f>
        <v>1.5523969583479589</v>
      </c>
      <c r="N50" s="13">
        <f ca="1">('TUSD BE'!$N$50+'TUSD BF'!$N$50+'TUSD CVA'!$N$50)*1</f>
        <v>0</v>
      </c>
      <c r="O50" s="13">
        <f>('TUSD BE'!$O$50+'TUSD BF'!$O$50+'TUSD CVA'!$O$50)*1</f>
        <v>0</v>
      </c>
      <c r="P50" s="13">
        <f>('TUSD BE'!$P$50+'TUSD BF'!$P$50+'TUSD CVA'!$P$50)*1</f>
        <v>0</v>
      </c>
      <c r="Q50" s="13">
        <f>('TUSD BE'!$Q$50+'TUSD BF'!$Q$50+'TUSD CVA'!$Q$50)*1</f>
        <v>51.397567669936706</v>
      </c>
      <c r="R50" s="13">
        <f>('TUSD BE'!$R$50+'TUSD BF'!$R$50+'TUSD CVA'!$R$50)*1</f>
        <v>8.0954795450782733</v>
      </c>
      <c r="S50" s="13">
        <f>('TUSD BE'!$S$50+'TUSD BF'!$S$50+'TUSD CVA'!$S$50)*1</f>
        <v>0</v>
      </c>
      <c r="T50" s="13">
        <f>('TUSD BE'!$U$50+'TUSD BF'!$U$50+'TUSD CVA'!$U$50)*1</f>
        <v>0</v>
      </c>
      <c r="U50" s="13">
        <f>('TUSD BE'!$V$50+'TUSD BF'!$V$50+'TUSD CVA'!$V$50)*1</f>
        <v>0</v>
      </c>
      <c r="V50" s="13">
        <f>('TUSD BE'!$W$50+'TUSD BF'!$W$50+'TUSD CVA'!$W$50)*1</f>
        <v>0</v>
      </c>
      <c r="W50" s="13">
        <f>('TUSD BE'!$X$50+'TUSD BF'!$X$50+'TUSD CVA'!$X$50)*1</f>
        <v>0</v>
      </c>
      <c r="X50" s="13">
        <f>('TUSD BE'!$Y$50+'TUSD BF'!$Y$50+'TUSD CVA'!$Y$50)*1</f>
        <v>76.737334068556535</v>
      </c>
      <c r="Y50" s="13">
        <f>('TUSD BE'!$Z$50+'TUSD BF'!$Z$50+'TUSD CVA'!$Z$50)*1</f>
        <v>0</v>
      </c>
      <c r="Z50" s="13">
        <f>('TUSD BE'!$AA$50+'TUSD BF'!$AA$50+'TUSD CVA'!$AA$50)*1</f>
        <v>0</v>
      </c>
      <c r="AA50" s="13">
        <f>('TUSD BE'!$AC$50+'TUSD BF'!$AC$50+'TUSD CVA'!$AC$50)*1</f>
        <v>224.0614848560308</v>
      </c>
      <c r="AB50" s="13">
        <f ca="1">('TUSD BE'!$AE$50+'TUSD BF'!$AE$50+'TUSD CVA'!$AE$50)*1</f>
        <v>-6.7231545293143595</v>
      </c>
      <c r="AC50" s="13">
        <f ca="1">('TUSD BE'!$AF$50+'TUSD BF'!$AF$50+'TUSD CVA'!$AF$50)*1</f>
        <v>0</v>
      </c>
      <c r="AD50" s="13">
        <f>('TUSD BE'!$AH$50+'TUSD BF'!$AH$50+'TUSD CVA'!$AH$50)*1</f>
        <v>13.425251331064109</v>
      </c>
      <c r="AE50" s="13">
        <f>('TUSD BE'!$AI$50+'TUSD BF'!$AI$50+'TUSD CVA'!$AI$50)*1</f>
        <v>0</v>
      </c>
      <c r="AF50" s="13">
        <f ca="1">('TUSD BE'!$AJ$50+'TUSD BF'!$AJ$50+'TUSD CVA'!$AJ$50)*1</f>
        <v>0</v>
      </c>
      <c r="AG50" s="13">
        <f ca="1">('TUSD BE'!$AK$50+'TUSD BF'!$AK$50+'TUSD CVA'!$AK$50)*1</f>
        <v>0</v>
      </c>
      <c r="AI50" s="13">
        <v>0</v>
      </c>
      <c r="AJ50" s="13">
        <v>1.23087481544303</v>
      </c>
      <c r="AK50" s="13">
        <v>0</v>
      </c>
      <c r="AL50" s="13">
        <v>0</v>
      </c>
      <c r="AM50" s="13">
        <v>0</v>
      </c>
      <c r="AN50" s="13">
        <v>32.826302432733698</v>
      </c>
      <c r="AO50" s="13">
        <v>5.0957840696759602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56.983449166427199</v>
      </c>
      <c r="AV50" s="13">
        <v>0</v>
      </c>
      <c r="AW50" s="13">
        <v>0</v>
      </c>
      <c r="AX50" s="13">
        <v>192.99564578152101</v>
      </c>
      <c r="AY50" s="13">
        <v>0</v>
      </c>
      <c r="AZ50" s="13">
        <v>0</v>
      </c>
      <c r="BA50" s="13">
        <v>17.1316290428183</v>
      </c>
      <c r="BB50" s="13">
        <v>0</v>
      </c>
      <c r="BC50" s="13">
        <v>0</v>
      </c>
      <c r="BD50" s="13">
        <v>0</v>
      </c>
    </row>
    <row r="51" spans="1:56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>
        <f>('TUSD BE'!$L$51+'TUSD BF'!$L$51+'TUSD CVA'!$L$51)*1</f>
        <v>0</v>
      </c>
      <c r="M51" s="13">
        <f>('TUSD BE'!$M$51+'TUSD BF'!$M$51+'TUSD CVA'!$M$51)*1</f>
        <v>1.6935239545614094</v>
      </c>
      <c r="N51" s="13">
        <f ca="1">('TUSD BE'!$N$51+'TUSD BF'!$N$51+'TUSD CVA'!$N$51)*1</f>
        <v>0</v>
      </c>
      <c r="O51" s="13">
        <f>('TUSD BE'!$O$51+'TUSD BF'!$O$51+'TUSD CVA'!$O$51)*1</f>
        <v>0</v>
      </c>
      <c r="P51" s="13">
        <f>('TUSD BE'!$P$51+'TUSD BF'!$P$51+'TUSD CVA'!$P$51)*1</f>
        <v>0</v>
      </c>
      <c r="Q51" s="13">
        <f>('TUSD BE'!$Q$51+'TUSD BF'!$Q$51+'TUSD CVA'!$Q$51)*1</f>
        <v>56.070073821749119</v>
      </c>
      <c r="R51" s="13">
        <f>('TUSD BE'!$R$51+'TUSD BF'!$R$51+'TUSD CVA'!$R$51)*1</f>
        <v>8.8314322309944782</v>
      </c>
      <c r="S51" s="13">
        <f>('TUSD BE'!$S$51+'TUSD BF'!$S$51+'TUSD CVA'!$S$51)*1</f>
        <v>0</v>
      </c>
      <c r="T51" s="13">
        <f>('TUSD BE'!$U$51+'TUSD BF'!$U$51+'TUSD CVA'!$U$51)*1</f>
        <v>0</v>
      </c>
      <c r="U51" s="13">
        <f>('TUSD BE'!$V$51+'TUSD BF'!$V$51+'TUSD CVA'!$V$51)*1</f>
        <v>0</v>
      </c>
      <c r="V51" s="13">
        <f>('TUSD BE'!$W$51+'TUSD BF'!$W$51+'TUSD CVA'!$W$51)*1</f>
        <v>0</v>
      </c>
      <c r="W51" s="13">
        <f>('TUSD BE'!$X$51+'TUSD BF'!$X$51+'TUSD CVA'!$X$51)*1</f>
        <v>0</v>
      </c>
      <c r="X51" s="13">
        <f>('TUSD BE'!$Y$51+'TUSD BF'!$Y$51+'TUSD CVA'!$Y$51)*1</f>
        <v>83.713455347516216</v>
      </c>
      <c r="Y51" s="13">
        <f>('TUSD BE'!$Z$51+'TUSD BF'!$Z$51+'TUSD CVA'!$Z$51)*1</f>
        <v>0</v>
      </c>
      <c r="Z51" s="13">
        <f>('TUSD BE'!$AA$51+'TUSD BF'!$AA$51+'TUSD CVA'!$AA$51)*1</f>
        <v>0</v>
      </c>
      <c r="AA51" s="13">
        <f>('TUSD BE'!$AC$51+'TUSD BF'!$AC$51+'TUSD CVA'!$AC$51)*1</f>
        <v>244.43071075203358</v>
      </c>
      <c r="AB51" s="13">
        <f ca="1">('TUSD BE'!$AE$51+'TUSD BF'!$AE$51+'TUSD CVA'!$AE$51)*1</f>
        <v>-7.3343503956156635</v>
      </c>
      <c r="AC51" s="13">
        <f ca="1">('TUSD BE'!$AF$51+'TUSD BF'!$AF$51+'TUSD CVA'!$AF$51)*1</f>
        <v>0</v>
      </c>
      <c r="AD51" s="13">
        <f>('TUSD BE'!$AH$51+'TUSD BF'!$AH$51+'TUSD CVA'!$AH$51)*1</f>
        <v>14.645728724797207</v>
      </c>
      <c r="AE51" s="13">
        <f>('TUSD BE'!$AI$51+'TUSD BF'!$AI$51+'TUSD CVA'!$AI$51)*1</f>
        <v>0</v>
      </c>
      <c r="AF51" s="13">
        <f ca="1">('TUSD BE'!$AJ$51+'TUSD BF'!$AJ$51+'TUSD CVA'!$AJ$51)*1</f>
        <v>0</v>
      </c>
      <c r="AG51" s="13">
        <f ca="1">('TUSD BE'!$AK$51+'TUSD BF'!$AK$51+'TUSD CVA'!$AK$51)*1</f>
        <v>0</v>
      </c>
      <c r="AI51" s="13">
        <v>0</v>
      </c>
      <c r="AJ51" s="13">
        <v>1.34277252593785</v>
      </c>
      <c r="AK51" s="13">
        <v>0</v>
      </c>
      <c r="AL51" s="13">
        <v>0</v>
      </c>
      <c r="AM51" s="13">
        <v>0</v>
      </c>
      <c r="AN51" s="13">
        <v>35.810511744800401</v>
      </c>
      <c r="AO51" s="13">
        <v>5.5590371669192304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62.163762727011402</v>
      </c>
      <c r="AV51" s="13">
        <v>0</v>
      </c>
      <c r="AW51" s="13">
        <v>0</v>
      </c>
      <c r="AX51" s="13">
        <v>210.54070448893199</v>
      </c>
      <c r="AY51" s="13">
        <v>0</v>
      </c>
      <c r="AZ51" s="13">
        <v>0</v>
      </c>
      <c r="BA51" s="13">
        <v>18.689049864892699</v>
      </c>
      <c r="BB51" s="13">
        <v>0</v>
      </c>
      <c r="BC51" s="13">
        <v>0</v>
      </c>
      <c r="BD51" s="13">
        <v>0</v>
      </c>
    </row>
    <row r="53" spans="1:56" ht="11.25" customHeight="1" x14ac:dyDescent="0.25">
      <c r="L53" s="104" t="s">
        <v>693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I53" s="104" t="s">
        <v>694</v>
      </c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</row>
    <row r="54" spans="1:56" ht="11.25" customHeight="1" x14ac:dyDescent="0.25">
      <c r="L54" s="104" t="s">
        <v>399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I54" s="104" t="s">
        <v>399</v>
      </c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</row>
    <row r="55" spans="1:56" ht="11.25" customHeight="1" x14ac:dyDescent="0.25">
      <c r="L55" s="104" t="s">
        <v>400</v>
      </c>
      <c r="M55" s="104"/>
      <c r="N55" s="104"/>
      <c r="O55" s="104"/>
      <c r="P55" s="104"/>
      <c r="Q55" s="104"/>
      <c r="R55" s="104"/>
      <c r="S55" s="104"/>
      <c r="T55" s="104" t="s">
        <v>409</v>
      </c>
      <c r="U55" s="104"/>
      <c r="V55" s="104"/>
      <c r="W55" s="104"/>
      <c r="X55" s="104"/>
      <c r="Y55" s="104"/>
      <c r="Z55" s="104"/>
      <c r="AA55" s="10" t="s">
        <v>417</v>
      </c>
      <c r="AB55" s="104" t="s">
        <v>419</v>
      </c>
      <c r="AC55" s="104"/>
      <c r="AD55" s="104" t="s">
        <v>422</v>
      </c>
      <c r="AE55" s="104"/>
      <c r="AF55" s="104"/>
      <c r="AG55" s="104"/>
      <c r="AI55" s="104" t="s">
        <v>400</v>
      </c>
      <c r="AJ55" s="104"/>
      <c r="AK55" s="104"/>
      <c r="AL55" s="104"/>
      <c r="AM55" s="104"/>
      <c r="AN55" s="104"/>
      <c r="AO55" s="104"/>
      <c r="AP55" s="104"/>
      <c r="AQ55" s="104" t="s">
        <v>409</v>
      </c>
      <c r="AR55" s="104"/>
      <c r="AS55" s="104"/>
      <c r="AT55" s="104"/>
      <c r="AU55" s="104"/>
      <c r="AV55" s="104"/>
      <c r="AW55" s="104"/>
      <c r="AX55" s="10" t="s">
        <v>417</v>
      </c>
      <c r="AY55" s="104" t="s">
        <v>419</v>
      </c>
      <c r="AZ55" s="104"/>
      <c r="BA55" s="104" t="s">
        <v>422</v>
      </c>
      <c r="BB55" s="104"/>
      <c r="BC55" s="104"/>
      <c r="BD55" s="104"/>
    </row>
    <row r="56" spans="1:56" ht="11.25" customHeight="1" x14ac:dyDescent="0.25">
      <c r="L56" s="10" t="s">
        <v>485</v>
      </c>
      <c r="M56" s="10" t="s">
        <v>401</v>
      </c>
      <c r="N56" s="10" t="s">
        <v>402</v>
      </c>
      <c r="O56" s="10" t="s">
        <v>403</v>
      </c>
      <c r="P56" s="10" t="s">
        <v>404</v>
      </c>
      <c r="Q56" s="10" t="s">
        <v>405</v>
      </c>
      <c r="R56" s="10" t="s">
        <v>406</v>
      </c>
      <c r="S56" s="10" t="s">
        <v>407</v>
      </c>
      <c r="T56" s="10" t="s">
        <v>410</v>
      </c>
      <c r="U56" s="10" t="s">
        <v>411</v>
      </c>
      <c r="V56" s="10" t="s">
        <v>412</v>
      </c>
      <c r="W56" s="10" t="s">
        <v>413</v>
      </c>
      <c r="X56" s="10" t="s">
        <v>414</v>
      </c>
      <c r="Y56" s="10" t="s">
        <v>415</v>
      </c>
      <c r="Z56" s="10" t="s">
        <v>416</v>
      </c>
      <c r="AA56" s="10" t="s">
        <v>418</v>
      </c>
      <c r="AB56" s="10" t="s">
        <v>420</v>
      </c>
      <c r="AC56" s="10" t="s">
        <v>421</v>
      </c>
      <c r="AD56" s="10" t="s">
        <v>423</v>
      </c>
      <c r="AE56" s="10" t="s">
        <v>424</v>
      </c>
      <c r="AF56" s="10" t="s">
        <v>425</v>
      </c>
      <c r="AG56" s="10" t="s">
        <v>426</v>
      </c>
      <c r="AI56" s="10" t="s">
        <v>485</v>
      </c>
      <c r="AJ56" s="10" t="s">
        <v>401</v>
      </c>
      <c r="AK56" s="10" t="s">
        <v>402</v>
      </c>
      <c r="AL56" s="10" t="s">
        <v>403</v>
      </c>
      <c r="AM56" s="10" t="s">
        <v>404</v>
      </c>
      <c r="AN56" s="10" t="s">
        <v>405</v>
      </c>
      <c r="AO56" s="10" t="s">
        <v>406</v>
      </c>
      <c r="AP56" s="10" t="s">
        <v>407</v>
      </c>
      <c r="AQ56" s="10" t="s">
        <v>410</v>
      </c>
      <c r="AR56" s="10" t="s">
        <v>411</v>
      </c>
      <c r="AS56" s="10" t="s">
        <v>412</v>
      </c>
      <c r="AT56" s="10" t="s">
        <v>413</v>
      </c>
      <c r="AU56" s="10" t="s">
        <v>414</v>
      </c>
      <c r="AV56" s="10" t="s">
        <v>415</v>
      </c>
      <c r="AW56" s="10" t="s">
        <v>416</v>
      </c>
      <c r="AX56" s="10" t="s">
        <v>418</v>
      </c>
      <c r="AY56" s="10" t="s">
        <v>420</v>
      </c>
      <c r="AZ56" s="10" t="s">
        <v>421</v>
      </c>
      <c r="BA56" s="10" t="s">
        <v>423</v>
      </c>
      <c r="BB56" s="10" t="s">
        <v>424</v>
      </c>
      <c r="BC56" s="10" t="s">
        <v>425</v>
      </c>
      <c r="BD56" s="10" t="s">
        <v>426</v>
      </c>
    </row>
    <row r="57" spans="1:56" ht="11.25" customHeight="1" x14ac:dyDescent="0.25">
      <c r="A57" s="9" t="s">
        <v>39</v>
      </c>
      <c r="B57" s="9" t="s">
        <v>695</v>
      </c>
      <c r="C57" s="9" t="s">
        <v>696</v>
      </c>
      <c r="D57" s="9" t="s">
        <v>697</v>
      </c>
      <c r="E57" s="9" t="s">
        <v>698</v>
      </c>
      <c r="F57" s="9" t="s">
        <v>699</v>
      </c>
      <c r="G57" s="9" t="s">
        <v>700</v>
      </c>
      <c r="L57" s="13">
        <f>$I$5*$L$5</f>
        <v>0</v>
      </c>
      <c r="M57" s="13">
        <f>$I$5*$M$5</f>
        <v>0</v>
      </c>
      <c r="N57" s="13">
        <f ca="1">$I$5*$N$5</f>
        <v>0</v>
      </c>
      <c r="O57" s="13">
        <f>$I$5*$O$5</f>
        <v>0</v>
      </c>
      <c r="P57" s="13">
        <f>$I$5*$P$5</f>
        <v>0</v>
      </c>
      <c r="Q57" s="13">
        <f>$I$5*$Q$5</f>
        <v>0</v>
      </c>
      <c r="R57" s="13">
        <f>$I$5*$R$5</f>
        <v>0</v>
      </c>
      <c r="S57" s="13">
        <f>$I$5*$S$5</f>
        <v>0</v>
      </c>
      <c r="T57" s="13">
        <f>$I$5*$T$5</f>
        <v>0</v>
      </c>
      <c r="U57" s="13">
        <f>$I$5*$U$5</f>
        <v>0</v>
      </c>
      <c r="V57" s="13">
        <f>$I$5*$V$5</f>
        <v>0</v>
      </c>
      <c r="W57" s="13">
        <f>$I$5*$W$5</f>
        <v>0</v>
      </c>
      <c r="X57" s="13">
        <f>$I$5*$X$5</f>
        <v>0</v>
      </c>
      <c r="Y57" s="13">
        <f>$I$5*$Y$5</f>
        <v>0</v>
      </c>
      <c r="Z57" s="13">
        <f>$I$5*$Z$5</f>
        <v>0</v>
      </c>
      <c r="AA57" s="13">
        <f>$I$5*$AA$5</f>
        <v>0</v>
      </c>
      <c r="AB57" s="13">
        <f ca="1">$I$5*$AB$5</f>
        <v>0</v>
      </c>
      <c r="AC57" s="13">
        <f ca="1">$I$5*$AC$5</f>
        <v>0</v>
      </c>
      <c r="AD57" s="13">
        <f>$I$5*$AD$5</f>
        <v>0</v>
      </c>
      <c r="AE57" s="13">
        <f>$I$5*$AE$5</f>
        <v>0</v>
      </c>
      <c r="AF57" s="13">
        <f ca="1">$I$5*$AF$5</f>
        <v>0</v>
      </c>
      <c r="AG57" s="13">
        <f ca="1">$I$5*$AG$5</f>
        <v>0</v>
      </c>
      <c r="AI57" s="13">
        <f>$I$5*$AI$5</f>
        <v>0</v>
      </c>
      <c r="AJ57" s="13">
        <f>$I$5*$AJ$5</f>
        <v>0</v>
      </c>
      <c r="AK57" s="13">
        <f>$I$5*$AK$5</f>
        <v>0</v>
      </c>
      <c r="AL57" s="13">
        <f>$I$5*$AL$5</f>
        <v>0</v>
      </c>
      <c r="AM57" s="13">
        <f>$I$5*$AM$5</f>
        <v>0</v>
      </c>
      <c r="AN57" s="13">
        <f>$I$5*$AN$5</f>
        <v>0</v>
      </c>
      <c r="AO57" s="13">
        <f>$I$5*$AO$5</f>
        <v>0</v>
      </c>
      <c r="AP57" s="13">
        <f>$I$5*$AP$5</f>
        <v>0</v>
      </c>
      <c r="AQ57" s="13">
        <f>$I$5*$AQ$5</f>
        <v>0</v>
      </c>
      <c r="AR57" s="13">
        <f>$I$5*$AR$5</f>
        <v>0</v>
      </c>
      <c r="AS57" s="13">
        <f>$I$5*$AS$5</f>
        <v>0</v>
      </c>
      <c r="AT57" s="13">
        <f>$I$5*$AT$5</f>
        <v>0</v>
      </c>
      <c r="AU57" s="13">
        <f>$I$5*$AU$5</f>
        <v>0</v>
      </c>
      <c r="AV57" s="13">
        <f>$I$5*$AV$5</f>
        <v>0</v>
      </c>
      <c r="AW57" s="13">
        <f>$I$5*$AW$5</f>
        <v>0</v>
      </c>
      <c r="AX57" s="13">
        <f>$I$5*$AX$5</f>
        <v>0</v>
      </c>
      <c r="AY57" s="13">
        <f>$I$5*$AY$5</f>
        <v>0</v>
      </c>
      <c r="AZ57" s="13">
        <f>$I$5*$AZ$5</f>
        <v>0</v>
      </c>
      <c r="BA57" s="13">
        <f>$I$5*$BA$5</f>
        <v>0</v>
      </c>
      <c r="BB57" s="13">
        <f>$I$5*$BB$5</f>
        <v>0</v>
      </c>
      <c r="BC57" s="13">
        <f>$I$5*$BC$5</f>
        <v>0</v>
      </c>
      <c r="BD57" s="13">
        <f>$I$5*$BD$5</f>
        <v>0</v>
      </c>
    </row>
    <row r="58" spans="1:56" ht="11.25" customHeight="1" x14ac:dyDescent="0.25">
      <c r="A58" s="9" t="s">
        <v>39</v>
      </c>
      <c r="B58" s="9" t="s">
        <v>695</v>
      </c>
      <c r="C58" s="9" t="s">
        <v>696</v>
      </c>
      <c r="D58" s="9" t="s">
        <v>697</v>
      </c>
      <c r="E58" s="9" t="s">
        <v>698</v>
      </c>
      <c r="F58" s="9" t="s">
        <v>699</v>
      </c>
      <c r="G58" s="9" t="s">
        <v>701</v>
      </c>
      <c r="L58" s="13">
        <f>$I$6*$L$6</f>
        <v>0</v>
      </c>
      <c r="M58" s="13">
        <f>$I$6*$M$6</f>
        <v>0</v>
      </c>
      <c r="N58" s="13">
        <f ca="1">$I$6*$N$6</f>
        <v>0</v>
      </c>
      <c r="O58" s="13">
        <f>$I$6*$O$6</f>
        <v>0</v>
      </c>
      <c r="P58" s="13">
        <f>$I$6*$P$6</f>
        <v>0</v>
      </c>
      <c r="Q58" s="13">
        <f>$I$6*$Q$6</f>
        <v>0</v>
      </c>
      <c r="R58" s="13">
        <f>$I$6*$R$6</f>
        <v>0</v>
      </c>
      <c r="S58" s="13">
        <f>$I$6*$S$6</f>
        <v>0</v>
      </c>
      <c r="T58" s="13">
        <f>$I$6*$T$6</f>
        <v>0</v>
      </c>
      <c r="U58" s="13">
        <f>$I$6*$U$6</f>
        <v>0</v>
      </c>
      <c r="V58" s="13">
        <f>$I$6*$V$6</f>
        <v>0</v>
      </c>
      <c r="W58" s="13">
        <f>$I$6*$W$6</f>
        <v>0</v>
      </c>
      <c r="X58" s="13">
        <f>$I$6*$X$6</f>
        <v>0</v>
      </c>
      <c r="Y58" s="13">
        <f>$I$6*$Y$6</f>
        <v>0</v>
      </c>
      <c r="Z58" s="13">
        <f>$I$6*$Z$6</f>
        <v>0</v>
      </c>
      <c r="AA58" s="13">
        <f>$I$6*$AA$6</f>
        <v>0</v>
      </c>
      <c r="AB58" s="13">
        <f ca="1">$I$6*$AB$6</f>
        <v>0</v>
      </c>
      <c r="AC58" s="13">
        <f ca="1">$I$6*$AC$6</f>
        <v>0</v>
      </c>
      <c r="AD58" s="13">
        <f>$I$6*$AD$6</f>
        <v>0</v>
      </c>
      <c r="AE58" s="13">
        <f>$I$6*$AE$6</f>
        <v>0</v>
      </c>
      <c r="AF58" s="13">
        <f ca="1">$I$6*$AF$6</f>
        <v>0</v>
      </c>
      <c r="AG58" s="13">
        <f ca="1">$I$6*$AG$6</f>
        <v>0</v>
      </c>
      <c r="AI58" s="13">
        <f>$I$6*$AI$6</f>
        <v>0</v>
      </c>
      <c r="AJ58" s="13">
        <f>$I$6*$AJ$6</f>
        <v>0</v>
      </c>
      <c r="AK58" s="13">
        <f>$I$6*$AK$6</f>
        <v>0</v>
      </c>
      <c r="AL58" s="13">
        <f>$I$6*$AL$6</f>
        <v>0</v>
      </c>
      <c r="AM58" s="13">
        <f>$I$6*$AM$6</f>
        <v>0</v>
      </c>
      <c r="AN58" s="13">
        <f>$I$6*$AN$6</f>
        <v>0</v>
      </c>
      <c r="AO58" s="13">
        <f>$I$6*$AO$6</f>
        <v>0</v>
      </c>
      <c r="AP58" s="13">
        <f>$I$6*$AP$6</f>
        <v>0</v>
      </c>
      <c r="AQ58" s="13">
        <f>$I$6*$AQ$6</f>
        <v>0</v>
      </c>
      <c r="AR58" s="13">
        <f>$I$6*$AR$6</f>
        <v>0</v>
      </c>
      <c r="AS58" s="13">
        <f>$I$6*$AS$6</f>
        <v>0</v>
      </c>
      <c r="AT58" s="13">
        <f>$I$6*$AT$6</f>
        <v>0</v>
      </c>
      <c r="AU58" s="13">
        <f>$I$6*$AU$6</f>
        <v>0</v>
      </c>
      <c r="AV58" s="13">
        <f>$I$6*$AV$6</f>
        <v>0</v>
      </c>
      <c r="AW58" s="13">
        <f>$I$6*$AW$6</f>
        <v>0</v>
      </c>
      <c r="AX58" s="13">
        <f>$I$6*$AX$6</f>
        <v>0</v>
      </c>
      <c r="AY58" s="13">
        <f>$I$6*$AY$6</f>
        <v>0</v>
      </c>
      <c r="AZ58" s="13">
        <f>$I$6*$AZ$6</f>
        <v>0</v>
      </c>
      <c r="BA58" s="13">
        <f>$I$6*$BA$6</f>
        <v>0</v>
      </c>
      <c r="BB58" s="13">
        <f>$I$6*$BB$6</f>
        <v>0</v>
      </c>
      <c r="BC58" s="13">
        <f>$I$6*$BC$6</f>
        <v>0</v>
      </c>
      <c r="BD58" s="13">
        <f>$I$6*$BD$6</f>
        <v>0</v>
      </c>
    </row>
    <row r="59" spans="1:56" ht="11.25" customHeight="1" x14ac:dyDescent="0.25">
      <c r="A59" s="9" t="s">
        <v>39</v>
      </c>
      <c r="B59" s="9" t="s">
        <v>695</v>
      </c>
      <c r="C59" s="9" t="s">
        <v>696</v>
      </c>
      <c r="D59" s="9" t="s">
        <v>697</v>
      </c>
      <c r="E59" s="9" t="s">
        <v>698</v>
      </c>
      <c r="F59" s="9" t="s">
        <v>699</v>
      </c>
      <c r="G59" s="9" t="s">
        <v>702</v>
      </c>
      <c r="L59" s="13">
        <f>$I$7*$L$7</f>
        <v>0</v>
      </c>
      <c r="M59" s="13">
        <f>$I$7*$M$7</f>
        <v>0</v>
      </c>
      <c r="N59" s="13">
        <f ca="1">$I$7*$N$7</f>
        <v>0</v>
      </c>
      <c r="O59" s="13">
        <f>$I$7*$O$7</f>
        <v>0</v>
      </c>
      <c r="P59" s="13">
        <f>$I$7*$P$7</f>
        <v>0</v>
      </c>
      <c r="Q59" s="13">
        <f>$I$7*$Q$7</f>
        <v>0</v>
      </c>
      <c r="R59" s="13">
        <f>$I$7*$R$7</f>
        <v>0</v>
      </c>
      <c r="S59" s="13">
        <f>$I$7*$S$7</f>
        <v>0</v>
      </c>
      <c r="T59" s="13">
        <f>$I$7*$T$7</f>
        <v>0</v>
      </c>
      <c r="U59" s="13">
        <f>$I$7*$U$7</f>
        <v>0</v>
      </c>
      <c r="V59" s="13">
        <f>$I$7*$V$7</f>
        <v>0</v>
      </c>
      <c r="W59" s="13">
        <f>$I$7*$W$7</f>
        <v>0</v>
      </c>
      <c r="X59" s="13">
        <f>$I$7*$X$7</f>
        <v>0</v>
      </c>
      <c r="Y59" s="13">
        <f>$I$7*$Y$7</f>
        <v>0</v>
      </c>
      <c r="Z59" s="13">
        <f>$I$7*$Z$7</f>
        <v>0</v>
      </c>
      <c r="AA59" s="13">
        <f>$I$7*$AA$7</f>
        <v>0</v>
      </c>
      <c r="AB59" s="13">
        <f ca="1">$I$7*$AB$7</f>
        <v>0</v>
      </c>
      <c r="AC59" s="13">
        <f ca="1">$I$7*$AC$7</f>
        <v>0</v>
      </c>
      <c r="AD59" s="13">
        <f>$I$7*$AD$7</f>
        <v>0</v>
      </c>
      <c r="AE59" s="13">
        <f>$I$7*$AE$7</f>
        <v>0</v>
      </c>
      <c r="AF59" s="13">
        <f ca="1">$I$7*$AF$7</f>
        <v>0</v>
      </c>
      <c r="AG59" s="13">
        <f ca="1">$I$7*$AG$7</f>
        <v>0</v>
      </c>
      <c r="AI59" s="13">
        <f>$I$7*$AI$7</f>
        <v>0</v>
      </c>
      <c r="AJ59" s="13">
        <f>$I$7*$AJ$7</f>
        <v>0</v>
      </c>
      <c r="AK59" s="13">
        <f>$I$7*$AK$7</f>
        <v>0</v>
      </c>
      <c r="AL59" s="13">
        <f>$I$7*$AL$7</f>
        <v>0</v>
      </c>
      <c r="AM59" s="13">
        <f>$I$7*$AM$7</f>
        <v>0</v>
      </c>
      <c r="AN59" s="13">
        <f>$I$7*$AN$7</f>
        <v>0</v>
      </c>
      <c r="AO59" s="13">
        <f>$I$7*$AO$7</f>
        <v>0</v>
      </c>
      <c r="AP59" s="13">
        <f>$I$7*$AP$7</f>
        <v>0</v>
      </c>
      <c r="AQ59" s="13">
        <f>$I$7*$AQ$7</f>
        <v>0</v>
      </c>
      <c r="AR59" s="13">
        <f>$I$7*$AR$7</f>
        <v>0</v>
      </c>
      <c r="AS59" s="13">
        <f>$I$7*$AS$7</f>
        <v>0</v>
      </c>
      <c r="AT59" s="13">
        <f>$I$7*$AT$7</f>
        <v>0</v>
      </c>
      <c r="AU59" s="13">
        <f>$I$7*$AU$7</f>
        <v>0</v>
      </c>
      <c r="AV59" s="13">
        <f>$I$7*$AV$7</f>
        <v>0</v>
      </c>
      <c r="AW59" s="13">
        <f>$I$7*$AW$7</f>
        <v>0</v>
      </c>
      <c r="AX59" s="13">
        <f>$I$7*$AX$7</f>
        <v>0</v>
      </c>
      <c r="AY59" s="13">
        <f>$I$7*$AY$7</f>
        <v>0</v>
      </c>
      <c r="AZ59" s="13">
        <f>$I$7*$AZ$7</f>
        <v>0</v>
      </c>
      <c r="BA59" s="13">
        <f>$I$7*$BA$7</f>
        <v>0</v>
      </c>
      <c r="BB59" s="13">
        <f>$I$7*$BB$7</f>
        <v>0</v>
      </c>
      <c r="BC59" s="13">
        <f>$I$7*$BC$7</f>
        <v>0</v>
      </c>
      <c r="BD59" s="13">
        <f>$I$7*$BD$7</f>
        <v>0</v>
      </c>
    </row>
    <row r="60" spans="1:56" ht="11.25" customHeight="1" x14ac:dyDescent="0.25">
      <c r="A60" s="9" t="s">
        <v>39</v>
      </c>
      <c r="B60" s="9" t="s">
        <v>695</v>
      </c>
      <c r="C60" s="9" t="s">
        <v>696</v>
      </c>
      <c r="D60" s="9" t="s">
        <v>697</v>
      </c>
      <c r="E60" s="9" t="s">
        <v>703</v>
      </c>
      <c r="F60" s="9" t="s">
        <v>704</v>
      </c>
      <c r="G60" s="9" t="s">
        <v>705</v>
      </c>
      <c r="L60" s="13">
        <f>$I$8*$L$8</f>
        <v>0</v>
      </c>
      <c r="M60" s="13">
        <f>$I$8*$M$8</f>
        <v>0</v>
      </c>
      <c r="N60" s="13">
        <f ca="1">$I$8*$N$8</f>
        <v>0</v>
      </c>
      <c r="O60" s="13">
        <f>$I$8*$O$8</f>
        <v>0</v>
      </c>
      <c r="P60" s="13">
        <f>$I$8*$P$8</f>
        <v>0</v>
      </c>
      <c r="Q60" s="13">
        <f>$I$8*$Q$8</f>
        <v>0</v>
      </c>
      <c r="R60" s="13">
        <f>$I$8*$R$8</f>
        <v>0</v>
      </c>
      <c r="S60" s="13">
        <f>$I$8*$S$8</f>
        <v>0</v>
      </c>
      <c r="T60" s="13">
        <f>$I$8*$T$8</f>
        <v>0</v>
      </c>
      <c r="U60" s="13">
        <f>$I$8*$U$8</f>
        <v>0</v>
      </c>
      <c r="V60" s="13">
        <f>$I$8*$V$8</f>
        <v>0</v>
      </c>
      <c r="W60" s="13">
        <f>$I$8*$W$8</f>
        <v>0</v>
      </c>
      <c r="X60" s="13">
        <f>$I$8*$X$8</f>
        <v>0</v>
      </c>
      <c r="Y60" s="13">
        <f>$I$8*$Y$8</f>
        <v>0</v>
      </c>
      <c r="Z60" s="13">
        <f>$I$8*$Z$8</f>
        <v>0</v>
      </c>
      <c r="AA60" s="13">
        <f>$I$8*$AA$8</f>
        <v>0</v>
      </c>
      <c r="AB60" s="13">
        <f ca="1">$I$8*$AB$8</f>
        <v>0</v>
      </c>
      <c r="AC60" s="13">
        <f ca="1">$I$8*$AC$8</f>
        <v>0</v>
      </c>
      <c r="AD60" s="13">
        <f>$I$8*$AD$8</f>
        <v>0</v>
      </c>
      <c r="AE60" s="13">
        <f>$I$8*$AE$8</f>
        <v>0</v>
      </c>
      <c r="AF60" s="13">
        <f ca="1">$I$8*$AF$8</f>
        <v>0</v>
      </c>
      <c r="AG60" s="13">
        <f ca="1">$I$8*$AG$8</f>
        <v>0</v>
      </c>
      <c r="AI60" s="13">
        <f>$I$8*$AI$8</f>
        <v>0</v>
      </c>
      <c r="AJ60" s="13">
        <f>$I$8*$AJ$8</f>
        <v>0</v>
      </c>
      <c r="AK60" s="13">
        <f>$I$8*$AK$8</f>
        <v>0</v>
      </c>
      <c r="AL60" s="13">
        <f>$I$8*$AL$8</f>
        <v>0</v>
      </c>
      <c r="AM60" s="13">
        <f>$I$8*$AM$8</f>
        <v>0</v>
      </c>
      <c r="AN60" s="13">
        <f>$I$8*$AN$8</f>
        <v>0</v>
      </c>
      <c r="AO60" s="13">
        <f>$I$8*$AO$8</f>
        <v>0</v>
      </c>
      <c r="AP60" s="13">
        <f>$I$8*$AP$8</f>
        <v>0</v>
      </c>
      <c r="AQ60" s="13">
        <f>$I$8*$AQ$8</f>
        <v>0</v>
      </c>
      <c r="AR60" s="13">
        <f>$I$8*$AR$8</f>
        <v>0</v>
      </c>
      <c r="AS60" s="13">
        <f>$I$8*$AS$8</f>
        <v>0</v>
      </c>
      <c r="AT60" s="13">
        <f>$I$8*$AT$8</f>
        <v>0</v>
      </c>
      <c r="AU60" s="13">
        <f>$I$8*$AU$8</f>
        <v>0</v>
      </c>
      <c r="AV60" s="13">
        <f>$I$8*$AV$8</f>
        <v>0</v>
      </c>
      <c r="AW60" s="13">
        <f>$I$8*$AW$8</f>
        <v>0</v>
      </c>
      <c r="AX60" s="13">
        <f>$I$8*$AX$8</f>
        <v>0</v>
      </c>
      <c r="AY60" s="13">
        <f>$I$8*$AY$8</f>
        <v>0</v>
      </c>
      <c r="AZ60" s="13">
        <f>$I$8*$AZ$8</f>
        <v>0</v>
      </c>
      <c r="BA60" s="13">
        <f>$I$8*$BA$8</f>
        <v>0</v>
      </c>
      <c r="BB60" s="13">
        <f>$I$8*$BB$8</f>
        <v>0</v>
      </c>
      <c r="BC60" s="13">
        <f>$I$8*$BC$8</f>
        <v>0</v>
      </c>
      <c r="BD60" s="13">
        <f>$I$8*$BD$8</f>
        <v>0</v>
      </c>
    </row>
    <row r="61" spans="1:56" ht="11.25" customHeight="1" x14ac:dyDescent="0.25">
      <c r="A61" s="9" t="s">
        <v>39</v>
      </c>
      <c r="B61" s="9" t="s">
        <v>706</v>
      </c>
      <c r="C61" s="9" t="s">
        <v>707</v>
      </c>
      <c r="D61" s="9" t="s">
        <v>708</v>
      </c>
      <c r="E61" s="9" t="s">
        <v>709</v>
      </c>
      <c r="F61" s="9" t="s">
        <v>710</v>
      </c>
      <c r="G61" s="9" t="s">
        <v>711</v>
      </c>
      <c r="L61" s="13">
        <f>$I$9*$L$9</f>
        <v>0</v>
      </c>
      <c r="M61" s="13">
        <f>$I$9*$M$9</f>
        <v>0</v>
      </c>
      <c r="N61" s="13">
        <f ca="1">$I$9*$N$9</f>
        <v>0</v>
      </c>
      <c r="O61" s="13">
        <f>$I$9*$O$9</f>
        <v>0</v>
      </c>
      <c r="P61" s="13">
        <f>$I$9*$P$9</f>
        <v>0</v>
      </c>
      <c r="Q61" s="13">
        <f>$I$9*$Q$9</f>
        <v>0</v>
      </c>
      <c r="R61" s="13">
        <f>$I$9*$R$9</f>
        <v>0</v>
      </c>
      <c r="S61" s="13">
        <f>$I$9*$S$9</f>
        <v>0</v>
      </c>
      <c r="T61" s="13">
        <f>$I$9*$T$9</f>
        <v>0</v>
      </c>
      <c r="U61" s="13">
        <f>$I$9*$U$9</f>
        <v>0</v>
      </c>
      <c r="V61" s="13">
        <f>$I$9*$V$9</f>
        <v>0</v>
      </c>
      <c r="W61" s="13">
        <f>$I$9*$W$9</f>
        <v>0</v>
      </c>
      <c r="X61" s="13">
        <f>$I$9*$X$9</f>
        <v>0</v>
      </c>
      <c r="Y61" s="13">
        <f>$I$9*$Y$9</f>
        <v>0</v>
      </c>
      <c r="Z61" s="13">
        <f>$I$9*$Z$9</f>
        <v>0</v>
      </c>
      <c r="AA61" s="13">
        <f>$I$9*$AA$9</f>
        <v>0</v>
      </c>
      <c r="AB61" s="13">
        <f ca="1">$I$9*$AB$9</f>
        <v>0</v>
      </c>
      <c r="AC61" s="13">
        <f ca="1">$I$9*$AC$9</f>
        <v>0</v>
      </c>
      <c r="AD61" s="13">
        <f>$I$9*$AD$9</f>
        <v>0</v>
      </c>
      <c r="AE61" s="13">
        <f>$I$9*$AE$9</f>
        <v>0</v>
      </c>
      <c r="AF61" s="13">
        <f ca="1">$I$9*$AF$9</f>
        <v>0</v>
      </c>
      <c r="AG61" s="13">
        <f ca="1">$I$9*$AG$9</f>
        <v>0</v>
      </c>
      <c r="AI61" s="13">
        <f>$I$9*$AI$9</f>
        <v>0</v>
      </c>
      <c r="AJ61" s="13">
        <f>$I$9*$AJ$9</f>
        <v>0</v>
      </c>
      <c r="AK61" s="13">
        <f>$I$9*$AK$9</f>
        <v>0</v>
      </c>
      <c r="AL61" s="13">
        <f>$I$9*$AL$9</f>
        <v>0</v>
      </c>
      <c r="AM61" s="13">
        <f>$I$9*$AM$9</f>
        <v>0</v>
      </c>
      <c r="AN61" s="13">
        <f>$I$9*$AN$9</f>
        <v>0</v>
      </c>
      <c r="AO61" s="13">
        <f>$I$9*$AO$9</f>
        <v>0</v>
      </c>
      <c r="AP61" s="13">
        <f>$I$9*$AP$9</f>
        <v>0</v>
      </c>
      <c r="AQ61" s="13">
        <f>$I$9*$AQ$9</f>
        <v>0</v>
      </c>
      <c r="AR61" s="13">
        <f>$I$9*$AR$9</f>
        <v>0</v>
      </c>
      <c r="AS61" s="13">
        <f>$I$9*$AS$9</f>
        <v>0</v>
      </c>
      <c r="AT61" s="13">
        <f>$I$9*$AT$9</f>
        <v>0</v>
      </c>
      <c r="AU61" s="13">
        <f>$I$9*$AU$9</f>
        <v>0</v>
      </c>
      <c r="AV61" s="13">
        <f>$I$9*$AV$9</f>
        <v>0</v>
      </c>
      <c r="AW61" s="13">
        <f>$I$9*$AW$9</f>
        <v>0</v>
      </c>
      <c r="AX61" s="13">
        <f>$I$9*$AX$9</f>
        <v>0</v>
      </c>
      <c r="AY61" s="13">
        <f>$I$9*$AY$9</f>
        <v>0</v>
      </c>
      <c r="AZ61" s="13">
        <f>$I$9*$AZ$9</f>
        <v>0</v>
      </c>
      <c r="BA61" s="13">
        <f>$I$9*$BA$9</f>
        <v>0</v>
      </c>
      <c r="BB61" s="13">
        <f>$I$9*$BB$9</f>
        <v>0</v>
      </c>
      <c r="BC61" s="13">
        <f>$I$9*$BC$9</f>
        <v>0</v>
      </c>
      <c r="BD61" s="13">
        <f>$I$9*$BD$9</f>
        <v>0</v>
      </c>
    </row>
    <row r="62" spans="1:56" ht="11.25" customHeight="1" x14ac:dyDescent="0.25">
      <c r="A62" s="9" t="s">
        <v>39</v>
      </c>
      <c r="B62" s="9" t="s">
        <v>712</v>
      </c>
      <c r="C62" s="9" t="s">
        <v>713</v>
      </c>
      <c r="D62" s="9" t="s">
        <v>714</v>
      </c>
      <c r="E62" s="9" t="s">
        <v>715</v>
      </c>
      <c r="F62" s="9" t="s">
        <v>716</v>
      </c>
      <c r="G62" s="9" t="s">
        <v>717</v>
      </c>
      <c r="L62" s="13">
        <f>$I$10*$L$10</f>
        <v>0</v>
      </c>
      <c r="M62" s="13">
        <f>$I$10*$M$10</f>
        <v>0</v>
      </c>
      <c r="N62" s="13">
        <f ca="1">$I$10*$N$10</f>
        <v>0</v>
      </c>
      <c r="O62" s="13">
        <f>$I$10*$O$10</f>
        <v>0</v>
      </c>
      <c r="P62" s="13">
        <f>$I$10*$P$10</f>
        <v>0</v>
      </c>
      <c r="Q62" s="13">
        <f>$I$10*$Q$10</f>
        <v>0</v>
      </c>
      <c r="R62" s="13">
        <f>$I$10*$R$10</f>
        <v>0</v>
      </c>
      <c r="S62" s="13">
        <f>$I$10*$S$10</f>
        <v>0</v>
      </c>
      <c r="T62" s="13">
        <f>$I$10*$T$10</f>
        <v>0</v>
      </c>
      <c r="U62" s="13">
        <f>$I$10*$U$10</f>
        <v>0</v>
      </c>
      <c r="V62" s="13">
        <f>$I$10*$V$10</f>
        <v>0</v>
      </c>
      <c r="W62" s="13">
        <f>$I$10*$W$10</f>
        <v>0</v>
      </c>
      <c r="X62" s="13">
        <f>$I$10*$X$10</f>
        <v>107168.48791311026</v>
      </c>
      <c r="Y62" s="13">
        <f>$I$10*$Y$10</f>
        <v>0</v>
      </c>
      <c r="Z62" s="13">
        <f>$I$10*$Z$10</f>
        <v>0</v>
      </c>
      <c r="AA62" s="13">
        <f>$I$10*$AA$10</f>
        <v>137594.53122138459</v>
      </c>
      <c r="AB62" s="13">
        <f ca="1">$I$10*$AB$10</f>
        <v>-4376.3418326350175</v>
      </c>
      <c r="AC62" s="13">
        <f ca="1">$I$10*$AC$10</f>
        <v>0</v>
      </c>
      <c r="AD62" s="13">
        <f>$I$10*$AD$10</f>
        <v>0</v>
      </c>
      <c r="AE62" s="13">
        <f>$I$10*$AE$10</f>
        <v>0</v>
      </c>
      <c r="AF62" s="13">
        <f ca="1">$I$10*$AF$10</f>
        <v>0</v>
      </c>
      <c r="AG62" s="13">
        <f ca="1">$I$10*$AG$10</f>
        <v>0</v>
      </c>
      <c r="AI62" s="13">
        <f>$I$10*$AI$10</f>
        <v>0</v>
      </c>
      <c r="AJ62" s="13">
        <f>$I$10*$AJ$10</f>
        <v>0</v>
      </c>
      <c r="AK62" s="13">
        <f>$I$10*$AK$10</f>
        <v>0</v>
      </c>
      <c r="AL62" s="13">
        <f>$I$10*$AL$10</f>
        <v>0</v>
      </c>
      <c r="AM62" s="13">
        <f>$I$10*$AM$10</f>
        <v>0</v>
      </c>
      <c r="AN62" s="13">
        <f>$I$10*$AN$10</f>
        <v>0</v>
      </c>
      <c r="AO62" s="13">
        <f>$I$10*$AO$10</f>
        <v>0</v>
      </c>
      <c r="AP62" s="13">
        <f>$I$10*$AP$10</f>
        <v>0</v>
      </c>
      <c r="AQ62" s="13">
        <f>$I$10*$AQ$10</f>
        <v>0</v>
      </c>
      <c r="AR62" s="13">
        <f>$I$10*$AR$10</f>
        <v>0</v>
      </c>
      <c r="AS62" s="13">
        <f>$I$10*$AS$10</f>
        <v>0</v>
      </c>
      <c r="AT62" s="13">
        <f>$I$10*$AT$10</f>
        <v>0</v>
      </c>
      <c r="AU62" s="13">
        <f>$I$10*$AU$10</f>
        <v>79580.874873770488</v>
      </c>
      <c r="AV62" s="13">
        <f>$I$10*$AV$10</f>
        <v>0</v>
      </c>
      <c r="AW62" s="13">
        <f>$I$10*$AW$10</f>
        <v>0</v>
      </c>
      <c r="AX62" s="13">
        <f>$I$10*$AX$10</f>
        <v>118517.37190986259</v>
      </c>
      <c r="AY62" s="13">
        <f>$I$10*$AY$10</f>
        <v>0</v>
      </c>
      <c r="AZ62" s="13">
        <f>$I$10*$AZ$10</f>
        <v>0</v>
      </c>
      <c r="BA62" s="13">
        <f>$I$10*$BA$10</f>
        <v>0</v>
      </c>
      <c r="BB62" s="13">
        <f>$I$10*$BB$10</f>
        <v>0</v>
      </c>
      <c r="BC62" s="13">
        <f>$I$10*$BC$10</f>
        <v>0</v>
      </c>
      <c r="BD62" s="13">
        <f>$I$10*$BD$10</f>
        <v>0</v>
      </c>
    </row>
    <row r="63" spans="1:56" ht="11.25" customHeight="1" x14ac:dyDescent="0.25">
      <c r="A63" s="9" t="s">
        <v>39</v>
      </c>
      <c r="B63" s="9" t="s">
        <v>712</v>
      </c>
      <c r="C63" s="9" t="s">
        <v>713</v>
      </c>
      <c r="D63" s="9" t="s">
        <v>714</v>
      </c>
      <c r="E63" s="9" t="s">
        <v>715</v>
      </c>
      <c r="F63" s="9" t="s">
        <v>716</v>
      </c>
      <c r="G63" s="9" t="s">
        <v>718</v>
      </c>
      <c r="L63" s="13">
        <f>$I$11*$L$11</f>
        <v>0</v>
      </c>
      <c r="M63" s="13">
        <f>$I$11*$M$11</f>
        <v>66.573244544047583</v>
      </c>
      <c r="N63" s="13">
        <f ca="1">$I$11*$N$11</f>
        <v>0</v>
      </c>
      <c r="O63" s="13">
        <f>$I$11*$O$11</f>
        <v>0</v>
      </c>
      <c r="P63" s="13">
        <f>$I$11*$P$11</f>
        <v>0</v>
      </c>
      <c r="Q63" s="13">
        <f>$I$11*$Q$11</f>
        <v>4776.138600254706</v>
      </c>
      <c r="R63" s="13">
        <f>$I$11*$R$11</f>
        <v>895.56610443771342</v>
      </c>
      <c r="S63" s="13">
        <f>$I$11*$S$11</f>
        <v>0</v>
      </c>
      <c r="T63" s="13">
        <f>$I$11*$T$11</f>
        <v>0</v>
      </c>
      <c r="U63" s="13">
        <f>$I$11*$U$11</f>
        <v>0</v>
      </c>
      <c r="V63" s="13">
        <f>$I$11*$V$11</f>
        <v>0</v>
      </c>
      <c r="W63" s="13">
        <f>$I$11*$W$11</f>
        <v>0</v>
      </c>
      <c r="X63" s="13">
        <f>$I$11*$X$11</f>
        <v>48912.454937781768</v>
      </c>
      <c r="Y63" s="13">
        <f>$I$11*$Y$11</f>
        <v>0</v>
      </c>
      <c r="Z63" s="13">
        <f>$I$11*$Z$11</f>
        <v>0</v>
      </c>
      <c r="AA63" s="13">
        <f>$I$11*$AA$11</f>
        <v>68522.414786114125</v>
      </c>
      <c r="AB63" s="13">
        <f ca="1">$I$11*$AB$11</f>
        <v>-2196.9204799892163</v>
      </c>
      <c r="AC63" s="13">
        <f ca="1">$I$11*$AC$11</f>
        <v>0</v>
      </c>
      <c r="AD63" s="13">
        <f>$I$11*$AD$11</f>
        <v>255.32753920920533</v>
      </c>
      <c r="AE63" s="13">
        <f>$I$11*$AE$11</f>
        <v>0</v>
      </c>
      <c r="AF63" s="13">
        <f ca="1">$I$11*$AF$11</f>
        <v>0</v>
      </c>
      <c r="AG63" s="13">
        <f ca="1">$I$11*$AG$11</f>
        <v>0</v>
      </c>
      <c r="AI63" s="13">
        <f>$I$11*$AI$11</f>
        <v>0</v>
      </c>
      <c r="AJ63" s="13">
        <f>$I$11*$AJ$11</f>
        <v>59.703146598434728</v>
      </c>
      <c r="AK63" s="13">
        <f>$I$11*$AK$11</f>
        <v>0</v>
      </c>
      <c r="AL63" s="13">
        <f>$I$11*$AL$11</f>
        <v>0</v>
      </c>
      <c r="AM63" s="13">
        <f>$I$11*$AM$11</f>
        <v>0</v>
      </c>
      <c r="AN63" s="13">
        <f>$I$11*$AN$11</f>
        <v>3159.3394260709233</v>
      </c>
      <c r="AO63" s="13">
        <f>$I$11*$AO$11</f>
        <v>563.7234289733899</v>
      </c>
      <c r="AP63" s="13">
        <f>$I$11*$AP$11</f>
        <v>0</v>
      </c>
      <c r="AQ63" s="13">
        <f>$I$11*$AQ$11</f>
        <v>0</v>
      </c>
      <c r="AR63" s="13">
        <f>$I$11*$AR$11</f>
        <v>0</v>
      </c>
      <c r="AS63" s="13">
        <f>$I$11*$AS$11</f>
        <v>0</v>
      </c>
      <c r="AT63" s="13">
        <f>$I$11*$AT$11</f>
        <v>0</v>
      </c>
      <c r="AU63" s="13">
        <f>$I$11*$AU$11</f>
        <v>36321.324660640137</v>
      </c>
      <c r="AV63" s="13">
        <f>$I$11*$AV$11</f>
        <v>0</v>
      </c>
      <c r="AW63" s="13">
        <f>$I$11*$AW$11</f>
        <v>0</v>
      </c>
      <c r="AX63" s="13">
        <f>$I$11*$AX$11</f>
        <v>59021.868845376703</v>
      </c>
      <c r="AY63" s="13">
        <f>$I$11*$AY$11</f>
        <v>0</v>
      </c>
      <c r="AZ63" s="13">
        <f>$I$11*$AZ$11</f>
        <v>0</v>
      </c>
      <c r="BA63" s="13">
        <f>$I$11*$BA$11</f>
        <v>325.81608565492417</v>
      </c>
      <c r="BB63" s="13">
        <f>$I$11*$BB$11</f>
        <v>0</v>
      </c>
      <c r="BC63" s="13">
        <f>$I$11*$BC$11</f>
        <v>0</v>
      </c>
      <c r="BD63" s="13">
        <f>$I$11*$BD$11</f>
        <v>0</v>
      </c>
    </row>
    <row r="64" spans="1:56" ht="11.25" customHeight="1" x14ac:dyDescent="0.25">
      <c r="A64" s="9" t="s">
        <v>39</v>
      </c>
      <c r="B64" s="9" t="s">
        <v>712</v>
      </c>
      <c r="C64" s="9" t="s">
        <v>713</v>
      </c>
      <c r="D64" s="9" t="s">
        <v>714</v>
      </c>
      <c r="E64" s="9" t="s">
        <v>715</v>
      </c>
      <c r="F64" s="9" t="s">
        <v>716</v>
      </c>
      <c r="G64" s="9" t="s">
        <v>719</v>
      </c>
      <c r="L64" s="13">
        <f>$I$12*$L$12</f>
        <v>0</v>
      </c>
      <c r="M64" s="13">
        <f>$I$12*$M$12</f>
        <v>1361.522638577841</v>
      </c>
      <c r="N64" s="13">
        <f ca="1">$I$12*$N$12</f>
        <v>0</v>
      </c>
      <c r="O64" s="13">
        <f>$I$12*$O$12</f>
        <v>0</v>
      </c>
      <c r="P64" s="13">
        <f>$I$12*$P$12</f>
        <v>0</v>
      </c>
      <c r="Q64" s="13">
        <f>$I$12*$Q$12</f>
        <v>97679.19340223429</v>
      </c>
      <c r="R64" s="13">
        <f>$I$12*$R$12</f>
        <v>18315.66921345035</v>
      </c>
      <c r="S64" s="13">
        <f>$I$12*$S$12</f>
        <v>0</v>
      </c>
      <c r="T64" s="13">
        <f>$I$12*$T$12</f>
        <v>0</v>
      </c>
      <c r="U64" s="13">
        <f>$I$12*$U$12</f>
        <v>0</v>
      </c>
      <c r="V64" s="13">
        <f>$I$12*$V$12</f>
        <v>0</v>
      </c>
      <c r="W64" s="13">
        <f>$I$12*$W$12</f>
        <v>0</v>
      </c>
      <c r="X64" s="13">
        <f>$I$12*$X$12</f>
        <v>0</v>
      </c>
      <c r="Y64" s="13">
        <f>$I$12*$Y$12</f>
        <v>0</v>
      </c>
      <c r="Z64" s="13">
        <f>$I$12*$Z$12</f>
        <v>0</v>
      </c>
      <c r="AA64" s="13">
        <f>$I$12*$AA$12</f>
        <v>0</v>
      </c>
      <c r="AB64" s="13">
        <f ca="1">$I$12*$AB$12</f>
        <v>-1703.4140036029501</v>
      </c>
      <c r="AC64" s="13">
        <f ca="1">$I$12*$AC$12</f>
        <v>0</v>
      </c>
      <c r="AD64" s="13">
        <f>$I$12*$AD$12</f>
        <v>5221.8308911727345</v>
      </c>
      <c r="AE64" s="13">
        <f>$I$12*$AE$12</f>
        <v>0</v>
      </c>
      <c r="AF64" s="13">
        <f ca="1">$I$12*$AF$12</f>
        <v>0</v>
      </c>
      <c r="AG64" s="13">
        <f ca="1">$I$12*$AG$12</f>
        <v>0</v>
      </c>
      <c r="AI64" s="13">
        <f>$I$12*$AI$12</f>
        <v>0</v>
      </c>
      <c r="AJ64" s="13">
        <f>$I$12*$AJ$12</f>
        <v>1221.0188378954185</v>
      </c>
      <c r="AK64" s="13">
        <f>$I$12*$AK$12</f>
        <v>0</v>
      </c>
      <c r="AL64" s="13">
        <f>$I$12*$AL$12</f>
        <v>0</v>
      </c>
      <c r="AM64" s="13">
        <f>$I$12*$AM$12</f>
        <v>0</v>
      </c>
      <c r="AN64" s="13">
        <f>$I$12*$AN$12</f>
        <v>64613.226845223508</v>
      </c>
      <c r="AO64" s="13">
        <f>$I$12*$AO$12</f>
        <v>11528.989096155196</v>
      </c>
      <c r="AP64" s="13">
        <f>$I$12*$AP$12</f>
        <v>0</v>
      </c>
      <c r="AQ64" s="13">
        <f>$I$12*$AQ$12</f>
        <v>0</v>
      </c>
      <c r="AR64" s="13">
        <f>$I$12*$AR$12</f>
        <v>0</v>
      </c>
      <c r="AS64" s="13">
        <f>$I$12*$AS$12</f>
        <v>0</v>
      </c>
      <c r="AT64" s="13">
        <f>$I$12*$AT$12</f>
        <v>0</v>
      </c>
      <c r="AU64" s="13">
        <f>$I$12*$AU$12</f>
        <v>0</v>
      </c>
      <c r="AV64" s="13">
        <f>$I$12*$AV$12</f>
        <v>0</v>
      </c>
      <c r="AW64" s="13">
        <f>$I$12*$AW$12</f>
        <v>0</v>
      </c>
      <c r="AX64" s="13">
        <f>$I$12*$AX$12</f>
        <v>0</v>
      </c>
      <c r="AY64" s="13">
        <f>$I$12*$AY$12</f>
        <v>0</v>
      </c>
      <c r="AZ64" s="13">
        <f>$I$12*$AZ$12</f>
        <v>0</v>
      </c>
      <c r="BA64" s="13">
        <f>$I$12*$BA$12</f>
        <v>6663.4273223455157</v>
      </c>
      <c r="BB64" s="13">
        <f>$I$12*$BB$12</f>
        <v>0</v>
      </c>
      <c r="BC64" s="13">
        <f>$I$12*$BC$12</f>
        <v>0</v>
      </c>
      <c r="BD64" s="13">
        <f>$I$12*$BD$12</f>
        <v>0</v>
      </c>
    </row>
    <row r="65" spans="1:56" ht="11.25" customHeight="1" x14ac:dyDescent="0.25">
      <c r="A65" s="9" t="s">
        <v>39</v>
      </c>
      <c r="B65" s="9" t="s">
        <v>712</v>
      </c>
      <c r="C65" s="9" t="s">
        <v>713</v>
      </c>
      <c r="D65" s="9" t="s">
        <v>714</v>
      </c>
      <c r="E65" s="9" t="s">
        <v>720</v>
      </c>
      <c r="F65" s="9" t="s">
        <v>721</v>
      </c>
      <c r="G65" s="9" t="s">
        <v>722</v>
      </c>
      <c r="L65" s="13">
        <f>$I$13*$L$13</f>
        <v>0</v>
      </c>
      <c r="M65" s="13">
        <f>$I$13*$M$13</f>
        <v>0</v>
      </c>
      <c r="N65" s="13">
        <f ca="1">$I$13*$N$13</f>
        <v>0</v>
      </c>
      <c r="O65" s="13">
        <f>$I$13*$O$13</f>
        <v>0</v>
      </c>
      <c r="P65" s="13">
        <f>$I$13*$P$13</f>
        <v>0</v>
      </c>
      <c r="Q65" s="13">
        <f>$I$13*$Q$13</f>
        <v>0</v>
      </c>
      <c r="R65" s="13">
        <f>$I$13*$R$13</f>
        <v>0</v>
      </c>
      <c r="S65" s="13">
        <f>$I$13*$S$13</f>
        <v>0</v>
      </c>
      <c r="T65" s="13">
        <f>$I$13*$T$13</f>
        <v>0</v>
      </c>
      <c r="U65" s="13">
        <f>$I$13*$U$13</f>
        <v>0</v>
      </c>
      <c r="V65" s="13">
        <f>$I$13*$V$13</f>
        <v>0</v>
      </c>
      <c r="W65" s="13">
        <f>$I$13*$W$13</f>
        <v>0</v>
      </c>
      <c r="X65" s="13">
        <f>$I$13*$X$13</f>
        <v>0</v>
      </c>
      <c r="Y65" s="13">
        <f>$I$13*$Y$13</f>
        <v>0</v>
      </c>
      <c r="Z65" s="13">
        <f>$I$13*$Z$13</f>
        <v>0</v>
      </c>
      <c r="AA65" s="13">
        <f>$I$13*$AA$13</f>
        <v>0</v>
      </c>
      <c r="AB65" s="13">
        <f ca="1">$I$13*$AB$13</f>
        <v>0</v>
      </c>
      <c r="AC65" s="13">
        <f ca="1">$I$13*$AC$13</f>
        <v>0</v>
      </c>
      <c r="AD65" s="13">
        <f>$I$13*$AD$13</f>
        <v>0</v>
      </c>
      <c r="AE65" s="13">
        <f>$I$13*$AE$13</f>
        <v>0</v>
      </c>
      <c r="AF65" s="13">
        <f ca="1">$I$13*$AF$13</f>
        <v>0</v>
      </c>
      <c r="AG65" s="13">
        <f ca="1">$I$13*$AG$13</f>
        <v>0</v>
      </c>
      <c r="AI65" s="13">
        <f>$I$13*$AI$13</f>
        <v>0</v>
      </c>
      <c r="AJ65" s="13">
        <f>$I$13*$AJ$13</f>
        <v>0</v>
      </c>
      <c r="AK65" s="13">
        <f>$I$13*$AK$13</f>
        <v>0</v>
      </c>
      <c r="AL65" s="13">
        <f>$I$13*$AL$13</f>
        <v>0</v>
      </c>
      <c r="AM65" s="13">
        <f>$I$13*$AM$13</f>
        <v>0</v>
      </c>
      <c r="AN65" s="13">
        <f>$I$13*$AN$13</f>
        <v>0</v>
      </c>
      <c r="AO65" s="13">
        <f>$I$13*$AO$13</f>
        <v>0</v>
      </c>
      <c r="AP65" s="13">
        <f>$I$13*$AP$13</f>
        <v>0</v>
      </c>
      <c r="AQ65" s="13">
        <f>$I$13*$AQ$13</f>
        <v>0</v>
      </c>
      <c r="AR65" s="13">
        <f>$I$13*$AR$13</f>
        <v>0</v>
      </c>
      <c r="AS65" s="13">
        <f>$I$13*$AS$13</f>
        <v>0</v>
      </c>
      <c r="AT65" s="13">
        <f>$I$13*$AT$13</f>
        <v>0</v>
      </c>
      <c r="AU65" s="13">
        <f>$I$13*$AU$13</f>
        <v>0</v>
      </c>
      <c r="AV65" s="13">
        <f>$I$13*$AV$13</f>
        <v>0</v>
      </c>
      <c r="AW65" s="13">
        <f>$I$13*$AW$13</f>
        <v>0</v>
      </c>
      <c r="AX65" s="13">
        <f>$I$13*$AX$13</f>
        <v>0</v>
      </c>
      <c r="AY65" s="13">
        <f>$I$13*$AY$13</f>
        <v>0</v>
      </c>
      <c r="AZ65" s="13">
        <f>$I$13*$AZ$13</f>
        <v>0</v>
      </c>
      <c r="BA65" s="13">
        <f>$I$13*$BA$13</f>
        <v>0</v>
      </c>
      <c r="BB65" s="13">
        <f>$I$13*$BB$13</f>
        <v>0</v>
      </c>
      <c r="BC65" s="13">
        <f>$I$13*$BC$13</f>
        <v>0</v>
      </c>
      <c r="BD65" s="13">
        <f>$I$13*$BD$13</f>
        <v>0</v>
      </c>
    </row>
    <row r="66" spans="1:56" ht="11.25" customHeight="1" x14ac:dyDescent="0.25">
      <c r="A66" s="9" t="s">
        <v>39</v>
      </c>
      <c r="B66" s="9" t="s">
        <v>712</v>
      </c>
      <c r="C66" s="9" t="s">
        <v>713</v>
      </c>
      <c r="D66" s="9" t="s">
        <v>714</v>
      </c>
      <c r="E66" s="9" t="s">
        <v>720</v>
      </c>
      <c r="F66" s="9" t="s">
        <v>721</v>
      </c>
      <c r="G66" s="9" t="s">
        <v>723</v>
      </c>
      <c r="L66" s="13">
        <f>$I$14*$L$14</f>
        <v>0</v>
      </c>
      <c r="M66" s="13">
        <f>$I$14*$M$14</f>
        <v>0</v>
      </c>
      <c r="N66" s="13">
        <f ca="1">$I$14*$N$14</f>
        <v>0</v>
      </c>
      <c r="O66" s="13">
        <f>$I$14*$O$14</f>
        <v>0</v>
      </c>
      <c r="P66" s="13">
        <f>$I$14*$P$14</f>
        <v>0</v>
      </c>
      <c r="Q66" s="13">
        <f>$I$14*$Q$14</f>
        <v>0</v>
      </c>
      <c r="R66" s="13">
        <f>$I$14*$R$14</f>
        <v>0</v>
      </c>
      <c r="S66" s="13">
        <f>$I$14*$S$14</f>
        <v>0</v>
      </c>
      <c r="T66" s="13">
        <f>$I$14*$T$14</f>
        <v>0</v>
      </c>
      <c r="U66" s="13">
        <f>$I$14*$U$14</f>
        <v>0</v>
      </c>
      <c r="V66" s="13">
        <f>$I$14*$V$14</f>
        <v>0</v>
      </c>
      <c r="W66" s="13">
        <f>$I$14*$W$14</f>
        <v>0</v>
      </c>
      <c r="X66" s="13">
        <f>$I$14*$X$14</f>
        <v>0</v>
      </c>
      <c r="Y66" s="13">
        <f>$I$14*$Y$14</f>
        <v>0</v>
      </c>
      <c r="Z66" s="13">
        <f>$I$14*$Z$14</f>
        <v>0</v>
      </c>
      <c r="AA66" s="13">
        <f>$I$14*$AA$14</f>
        <v>0</v>
      </c>
      <c r="AB66" s="13">
        <f ca="1">$I$14*$AB$14</f>
        <v>0</v>
      </c>
      <c r="AC66" s="13">
        <f ca="1">$I$14*$AC$14</f>
        <v>0</v>
      </c>
      <c r="AD66" s="13">
        <f>$I$14*$AD$14</f>
        <v>0</v>
      </c>
      <c r="AE66" s="13">
        <f>$I$14*$AE$14</f>
        <v>0</v>
      </c>
      <c r="AF66" s="13">
        <f ca="1">$I$14*$AF$14</f>
        <v>0</v>
      </c>
      <c r="AG66" s="13">
        <f ca="1">$I$14*$AG$14</f>
        <v>0</v>
      </c>
      <c r="AI66" s="13">
        <f>$I$14*$AI$14</f>
        <v>0</v>
      </c>
      <c r="AJ66" s="13">
        <f>$I$14*$AJ$14</f>
        <v>0</v>
      </c>
      <c r="AK66" s="13">
        <f>$I$14*$AK$14</f>
        <v>0</v>
      </c>
      <c r="AL66" s="13">
        <f>$I$14*$AL$14</f>
        <v>0</v>
      </c>
      <c r="AM66" s="13">
        <f>$I$14*$AM$14</f>
        <v>0</v>
      </c>
      <c r="AN66" s="13">
        <f>$I$14*$AN$14</f>
        <v>0</v>
      </c>
      <c r="AO66" s="13">
        <f>$I$14*$AO$14</f>
        <v>0</v>
      </c>
      <c r="AP66" s="13">
        <f>$I$14*$AP$14</f>
        <v>0</v>
      </c>
      <c r="AQ66" s="13">
        <f>$I$14*$AQ$14</f>
        <v>0</v>
      </c>
      <c r="AR66" s="13">
        <f>$I$14*$AR$14</f>
        <v>0</v>
      </c>
      <c r="AS66" s="13">
        <f>$I$14*$AS$14</f>
        <v>0</v>
      </c>
      <c r="AT66" s="13">
        <f>$I$14*$AT$14</f>
        <v>0</v>
      </c>
      <c r="AU66" s="13">
        <f>$I$14*$AU$14</f>
        <v>0</v>
      </c>
      <c r="AV66" s="13">
        <f>$I$14*$AV$14</f>
        <v>0</v>
      </c>
      <c r="AW66" s="13">
        <f>$I$14*$AW$14</f>
        <v>0</v>
      </c>
      <c r="AX66" s="13">
        <f>$I$14*$AX$14</f>
        <v>0</v>
      </c>
      <c r="AY66" s="13">
        <f>$I$14*$AY$14</f>
        <v>0</v>
      </c>
      <c r="AZ66" s="13">
        <f>$I$14*$AZ$14</f>
        <v>0</v>
      </c>
      <c r="BA66" s="13">
        <f>$I$14*$BA$14</f>
        <v>0</v>
      </c>
      <c r="BB66" s="13">
        <f>$I$14*$BB$14</f>
        <v>0</v>
      </c>
      <c r="BC66" s="13">
        <f>$I$14*$BC$14</f>
        <v>0</v>
      </c>
      <c r="BD66" s="13">
        <f>$I$14*$BD$14</f>
        <v>0</v>
      </c>
    </row>
    <row r="67" spans="1:56" ht="11.25" customHeight="1" x14ac:dyDescent="0.25">
      <c r="A67" s="9" t="s">
        <v>77</v>
      </c>
      <c r="B67" s="9" t="s">
        <v>724</v>
      </c>
      <c r="C67" s="9" t="s">
        <v>725</v>
      </c>
      <c r="D67" s="9" t="s">
        <v>726</v>
      </c>
      <c r="E67" s="9" t="s">
        <v>727</v>
      </c>
      <c r="F67" s="9" t="s">
        <v>728</v>
      </c>
      <c r="G67" s="9" t="s">
        <v>729</v>
      </c>
      <c r="L67" s="13">
        <f>$I$15*$L$15</f>
        <v>0</v>
      </c>
      <c r="M67" s="13">
        <f>$I$15*$M$15</f>
        <v>5.6498028048130245E-11</v>
      </c>
      <c r="N67" s="13">
        <f ca="1">$I$15*$N$15</f>
        <v>0</v>
      </c>
      <c r="O67" s="13">
        <f>$I$15*$O$15</f>
        <v>0</v>
      </c>
      <c r="P67" s="13">
        <f>$I$15*$P$15</f>
        <v>0</v>
      </c>
      <c r="Q67" s="13">
        <f>$I$15*$Q$15</f>
        <v>0</v>
      </c>
      <c r="R67" s="13">
        <f>$I$15*$R$15</f>
        <v>0</v>
      </c>
      <c r="S67" s="13">
        <f>$I$15*$S$15</f>
        <v>0</v>
      </c>
      <c r="T67" s="13">
        <f>$I$15*$T$15</f>
        <v>0</v>
      </c>
      <c r="U67" s="13">
        <f>$I$15*$U$15</f>
        <v>0</v>
      </c>
      <c r="V67" s="13">
        <f>$I$15*$V$15</f>
        <v>0</v>
      </c>
      <c r="W67" s="13">
        <f>$I$15*$W$15</f>
        <v>0</v>
      </c>
      <c r="X67" s="13">
        <f>$I$15*$X$15</f>
        <v>0</v>
      </c>
      <c r="Y67" s="13">
        <f>$I$15*$Y$15</f>
        <v>0</v>
      </c>
      <c r="Z67" s="13">
        <f>$I$15*$Z$15</f>
        <v>0</v>
      </c>
      <c r="AA67" s="13">
        <f>$I$15*$AA$15</f>
        <v>4.4161843062033141E-8</v>
      </c>
      <c r="AB67" s="13">
        <f ca="1">$I$15*$AB$15</f>
        <v>-8.9768343482038874E-10</v>
      </c>
      <c r="AC67" s="13">
        <f ca="1">$I$15*$AC$15</f>
        <v>0</v>
      </c>
      <c r="AD67" s="13">
        <f>$I$15*$AD$15</f>
        <v>0</v>
      </c>
      <c r="AE67" s="13">
        <f>$I$15*$AE$15</f>
        <v>0</v>
      </c>
      <c r="AF67" s="13">
        <f ca="1">$I$15*$AF$15</f>
        <v>0</v>
      </c>
      <c r="AG67" s="13">
        <f ca="1">$I$15*$AG$15</f>
        <v>0</v>
      </c>
      <c r="AI67" s="13">
        <f>$I$15*$AI$15</f>
        <v>0</v>
      </c>
      <c r="AJ67" s="13">
        <f>$I$15*$AJ$15</f>
        <v>5.2482207938544401E-11</v>
      </c>
      <c r="AK67" s="13">
        <f>$I$15*$AK$15</f>
        <v>0</v>
      </c>
      <c r="AL67" s="13">
        <f>$I$15*$AL$15</f>
        <v>0</v>
      </c>
      <c r="AM67" s="13">
        <f>$I$15*$AM$15</f>
        <v>0</v>
      </c>
      <c r="AN67" s="13">
        <f>$I$15*$AN$15</f>
        <v>0</v>
      </c>
      <c r="AO67" s="13">
        <f>$I$15*$AO$15</f>
        <v>0</v>
      </c>
      <c r="AP67" s="13">
        <f>$I$15*$AP$15</f>
        <v>0</v>
      </c>
      <c r="AQ67" s="13">
        <f>$I$15*$AQ$15</f>
        <v>0</v>
      </c>
      <c r="AR67" s="13">
        <f>$I$15*$AR$15</f>
        <v>0</v>
      </c>
      <c r="AS67" s="13">
        <f>$I$15*$AS$15</f>
        <v>0</v>
      </c>
      <c r="AT67" s="13">
        <f>$I$15*$AT$15</f>
        <v>0</v>
      </c>
      <c r="AU67" s="13">
        <f>$I$15*$AU$15</f>
        <v>0</v>
      </c>
      <c r="AV67" s="13">
        <f>$I$15*$AV$15</f>
        <v>0</v>
      </c>
      <c r="AW67" s="13">
        <f>$I$15*$AW$15</f>
        <v>0</v>
      </c>
      <c r="AX67" s="13">
        <f>$I$15*$AX$15</f>
        <v>3.8038780776407204E-8</v>
      </c>
      <c r="AY67" s="13">
        <f>$I$15*$AY$15</f>
        <v>0</v>
      </c>
      <c r="AZ67" s="13">
        <f>$I$15*$AZ$15</f>
        <v>0</v>
      </c>
      <c r="BA67" s="13">
        <f>$I$15*$BA$15</f>
        <v>0</v>
      </c>
      <c r="BB67" s="13">
        <f>$I$15*$BB$15</f>
        <v>0</v>
      </c>
      <c r="BC67" s="13">
        <f>$I$15*$BC$15</f>
        <v>0</v>
      </c>
      <c r="BD67" s="13">
        <f>$I$15*$BD$15</f>
        <v>0</v>
      </c>
    </row>
    <row r="68" spans="1:56" ht="11.25" customHeight="1" x14ac:dyDescent="0.25">
      <c r="A68" s="9" t="s">
        <v>77</v>
      </c>
      <c r="B68" s="9" t="s">
        <v>724</v>
      </c>
      <c r="C68" s="9" t="s">
        <v>725</v>
      </c>
      <c r="D68" s="9" t="s">
        <v>726</v>
      </c>
      <c r="E68" s="9" t="s">
        <v>730</v>
      </c>
      <c r="F68" s="9" t="s">
        <v>731</v>
      </c>
      <c r="G68" s="9" t="s">
        <v>732</v>
      </c>
      <c r="L68" s="13">
        <f>$I$16*$L$16</f>
        <v>0</v>
      </c>
      <c r="M68" s="13">
        <f>$I$16*$M$16</f>
        <v>5.6498028048130245E-11</v>
      </c>
      <c r="N68" s="13">
        <f ca="1">$I$16*$N$16</f>
        <v>0</v>
      </c>
      <c r="O68" s="13">
        <f>$I$16*$O$16</f>
        <v>0</v>
      </c>
      <c r="P68" s="13">
        <f>$I$16*$P$16</f>
        <v>0</v>
      </c>
      <c r="Q68" s="13">
        <f>$I$16*$Q$16</f>
        <v>0</v>
      </c>
      <c r="R68" s="13">
        <f>$I$16*$R$16</f>
        <v>0</v>
      </c>
      <c r="S68" s="13">
        <f>$I$16*$S$16</f>
        <v>0</v>
      </c>
      <c r="T68" s="13">
        <f>$I$16*$T$16</f>
        <v>0</v>
      </c>
      <c r="U68" s="13">
        <f>$I$16*$U$16</f>
        <v>0</v>
      </c>
      <c r="V68" s="13">
        <f>$I$16*$V$16</f>
        <v>0</v>
      </c>
      <c r="W68" s="13">
        <f>$I$16*$W$16</f>
        <v>0</v>
      </c>
      <c r="X68" s="13">
        <f>$I$16*$X$16</f>
        <v>0</v>
      </c>
      <c r="Y68" s="13">
        <f>$I$16*$Y$16</f>
        <v>0</v>
      </c>
      <c r="Z68" s="13">
        <f>$I$16*$Z$16</f>
        <v>0</v>
      </c>
      <c r="AA68" s="13">
        <f>$I$16*$AA$16</f>
        <v>1.9796817983869844E-7</v>
      </c>
      <c r="AB68" s="13">
        <f ca="1">$I$16*$AB$16</f>
        <v>-4.0213969225288513E-9</v>
      </c>
      <c r="AC68" s="13">
        <f ca="1">$I$16*$AC$16</f>
        <v>0</v>
      </c>
      <c r="AD68" s="13">
        <f>$I$16*$AD$16</f>
        <v>0</v>
      </c>
      <c r="AE68" s="13">
        <f>$I$16*$AE$16</f>
        <v>0</v>
      </c>
      <c r="AF68" s="13">
        <f ca="1">$I$16*$AF$16</f>
        <v>0</v>
      </c>
      <c r="AG68" s="13">
        <f ca="1">$I$16*$AG$16</f>
        <v>0</v>
      </c>
      <c r="AI68" s="13">
        <f>$I$16*$AI$16</f>
        <v>0</v>
      </c>
      <c r="AJ68" s="13">
        <f>$I$16*$AJ$16</f>
        <v>5.2482207938544401E-11</v>
      </c>
      <c r="AK68" s="13">
        <f>$I$16*$AK$16</f>
        <v>0</v>
      </c>
      <c r="AL68" s="13">
        <f>$I$16*$AL$16</f>
        <v>0</v>
      </c>
      <c r="AM68" s="13">
        <f>$I$16*$AM$16</f>
        <v>0</v>
      </c>
      <c r="AN68" s="13">
        <f>$I$16*$AN$16</f>
        <v>0</v>
      </c>
      <c r="AO68" s="13">
        <f>$I$16*$AO$16</f>
        <v>0</v>
      </c>
      <c r="AP68" s="13">
        <f>$I$16*$AP$16</f>
        <v>0</v>
      </c>
      <c r="AQ68" s="13">
        <f>$I$16*$AQ$16</f>
        <v>0</v>
      </c>
      <c r="AR68" s="13">
        <f>$I$16*$AR$16</f>
        <v>0</v>
      </c>
      <c r="AS68" s="13">
        <f>$I$16*$AS$16</f>
        <v>0</v>
      </c>
      <c r="AT68" s="13">
        <f>$I$16*$AT$16</f>
        <v>0</v>
      </c>
      <c r="AU68" s="13">
        <f>$I$16*$AU$16</f>
        <v>0</v>
      </c>
      <c r="AV68" s="13">
        <f>$I$16*$AV$16</f>
        <v>0</v>
      </c>
      <c r="AW68" s="13">
        <f>$I$16*$AW$16</f>
        <v>0</v>
      </c>
      <c r="AX68" s="13">
        <f>$I$16*$AX$16</f>
        <v>1.7051981346431401E-7</v>
      </c>
      <c r="AY68" s="13">
        <f>$I$16*$AY$16</f>
        <v>0</v>
      </c>
      <c r="AZ68" s="13">
        <f>$I$16*$AZ$16</f>
        <v>0</v>
      </c>
      <c r="BA68" s="13">
        <f>$I$16*$BA$16</f>
        <v>0</v>
      </c>
      <c r="BB68" s="13">
        <f>$I$16*$BB$16</f>
        <v>0</v>
      </c>
      <c r="BC68" s="13">
        <f>$I$16*$BC$16</f>
        <v>0</v>
      </c>
      <c r="BD68" s="13">
        <f>$I$16*$BD$16</f>
        <v>0</v>
      </c>
    </row>
    <row r="69" spans="1:56" ht="11.25" customHeight="1" x14ac:dyDescent="0.25">
      <c r="A69" s="9" t="s">
        <v>22</v>
      </c>
      <c r="B69" s="9" t="s">
        <v>733</v>
      </c>
      <c r="C69" s="9" t="s">
        <v>734</v>
      </c>
      <c r="D69" s="9" t="s">
        <v>735</v>
      </c>
      <c r="E69" s="9" t="s">
        <v>736</v>
      </c>
      <c r="F69" s="9" t="s">
        <v>737</v>
      </c>
      <c r="G69" s="9" t="s">
        <v>738</v>
      </c>
      <c r="L69" s="13">
        <f>$I$17*$L$17</f>
        <v>0</v>
      </c>
      <c r="M69" s="13">
        <f>$I$17*$M$17</f>
        <v>0.63789402288479757</v>
      </c>
      <c r="N69" s="13">
        <f ca="1">$I$17*$N$17</f>
        <v>0</v>
      </c>
      <c r="O69" s="13">
        <f>$I$17*$O$17</f>
        <v>0</v>
      </c>
      <c r="P69" s="13">
        <f>$I$17*$P$17</f>
        <v>0</v>
      </c>
      <c r="Q69" s="13">
        <f>$I$17*$Q$17</f>
        <v>21.11972780619217</v>
      </c>
      <c r="R69" s="13">
        <f>$I$17*$R$17</f>
        <v>3.326506140341253</v>
      </c>
      <c r="S69" s="13">
        <f>$I$17*$S$17</f>
        <v>0</v>
      </c>
      <c r="T69" s="13">
        <f>$I$17*$T$17</f>
        <v>0</v>
      </c>
      <c r="U69" s="13">
        <f>$I$17*$U$17</f>
        <v>0</v>
      </c>
      <c r="V69" s="13">
        <f>$I$17*$V$17</f>
        <v>0</v>
      </c>
      <c r="W69" s="13">
        <f>$I$17*$W$17</f>
        <v>0</v>
      </c>
      <c r="X69" s="13">
        <f>$I$17*$X$17</f>
        <v>91.421672106093098</v>
      </c>
      <c r="Y69" s="13">
        <f>$I$17*$Y$17</f>
        <v>0</v>
      </c>
      <c r="Z69" s="13">
        <f>$I$17*$Z$17</f>
        <v>0</v>
      </c>
      <c r="AA69" s="13">
        <f>$I$17*$AA$17</f>
        <v>266.99985555230614</v>
      </c>
      <c r="AB69" s="13">
        <f ca="1">$I$17*$AB$17</f>
        <v>-7.1993585647577953</v>
      </c>
      <c r="AC69" s="13">
        <f ca="1">$I$17*$AC$17</f>
        <v>0</v>
      </c>
      <c r="AD69" s="13">
        <f>$I$17*$AD$17</f>
        <v>5.5165578196736149</v>
      </c>
      <c r="AE69" s="13">
        <f>$I$17*$AE$17</f>
        <v>0</v>
      </c>
      <c r="AF69" s="13">
        <f ca="1">$I$17*$AF$17</f>
        <v>0</v>
      </c>
      <c r="AG69" s="13">
        <f ca="1">$I$17*$AG$17</f>
        <v>0</v>
      </c>
      <c r="AI69" s="13">
        <f>$I$17*$AI$17</f>
        <v>0</v>
      </c>
      <c r="AJ69" s="13">
        <f>$I$17*$AJ$17</f>
        <v>0.50577765143658859</v>
      </c>
      <c r="AK69" s="13">
        <f>$I$17*$AK$17</f>
        <v>0</v>
      </c>
      <c r="AL69" s="13">
        <f>$I$17*$AL$17</f>
        <v>0</v>
      </c>
      <c r="AM69" s="13">
        <f>$I$17*$AM$17</f>
        <v>0</v>
      </c>
      <c r="AN69" s="13">
        <f>$I$17*$AN$17</f>
        <v>13.488626090541507</v>
      </c>
      <c r="AO69" s="13">
        <f>$I$17*$AO$17</f>
        <v>2.0939039995395783</v>
      </c>
      <c r="AP69" s="13">
        <f>$I$17*$AP$17</f>
        <v>0</v>
      </c>
      <c r="AQ69" s="13">
        <f>$I$17*$AQ$17</f>
        <v>0</v>
      </c>
      <c r="AR69" s="13">
        <f>$I$17*$AR$17</f>
        <v>0</v>
      </c>
      <c r="AS69" s="13">
        <f>$I$17*$AS$17</f>
        <v>0</v>
      </c>
      <c r="AT69" s="13">
        <f>$I$17*$AT$17</f>
        <v>0</v>
      </c>
      <c r="AU69" s="13">
        <f>$I$17*$AU$17</f>
        <v>67.887748228670034</v>
      </c>
      <c r="AV69" s="13">
        <f>$I$17*$AV$17</f>
        <v>0</v>
      </c>
      <c r="AW69" s="13">
        <f>$I$17*$AW$17</f>
        <v>0</v>
      </c>
      <c r="AX69" s="13">
        <f>$I$17*$AX$17</f>
        <v>229.980666927915</v>
      </c>
      <c r="AY69" s="13">
        <f>$I$17*$AY$17</f>
        <v>0</v>
      </c>
      <c r="AZ69" s="13">
        <f>$I$17*$AZ$17</f>
        <v>0</v>
      </c>
      <c r="BA69" s="13">
        <f>$I$17*$BA$17</f>
        <v>7.039542115776265</v>
      </c>
      <c r="BB69" s="13">
        <f>$I$17*$BB$17</f>
        <v>0</v>
      </c>
      <c r="BC69" s="13">
        <f>$I$17*$BC$17</f>
        <v>0</v>
      </c>
      <c r="BD69" s="13">
        <f>$I$17*$BD$17</f>
        <v>0</v>
      </c>
    </row>
    <row r="70" spans="1:56" ht="11.25" customHeight="1" x14ac:dyDescent="0.25">
      <c r="A70" s="9" t="s">
        <v>22</v>
      </c>
      <c r="B70" s="9" t="s">
        <v>733</v>
      </c>
      <c r="C70" s="9" t="s">
        <v>734</v>
      </c>
      <c r="D70" s="9" t="s">
        <v>735</v>
      </c>
      <c r="E70" s="9" t="s">
        <v>736</v>
      </c>
      <c r="F70" s="9" t="s">
        <v>737</v>
      </c>
      <c r="G70" s="9" t="s">
        <v>739</v>
      </c>
      <c r="L70" s="13">
        <f>$I$18*$L$18</f>
        <v>0</v>
      </c>
      <c r="M70" s="13">
        <f>$I$18*$M$18</f>
        <v>0.83264927765935981</v>
      </c>
      <c r="N70" s="13">
        <f ca="1">$I$18*$N$18</f>
        <v>0</v>
      </c>
      <c r="O70" s="13">
        <f>$I$18*$O$18</f>
        <v>0</v>
      </c>
      <c r="P70" s="13">
        <f>$I$18*$P$18</f>
        <v>0</v>
      </c>
      <c r="Q70" s="13">
        <f>$I$18*$Q$18</f>
        <v>27.567786295693324</v>
      </c>
      <c r="R70" s="13">
        <f>$I$18*$R$18</f>
        <v>4.3421208469056189</v>
      </c>
      <c r="S70" s="13">
        <f>$I$18*$S$18</f>
        <v>0</v>
      </c>
      <c r="T70" s="13">
        <f>$I$18*$T$18</f>
        <v>0</v>
      </c>
      <c r="U70" s="13">
        <f>$I$18*$U$18</f>
        <v>0</v>
      </c>
      <c r="V70" s="13">
        <f>$I$18*$V$18</f>
        <v>0</v>
      </c>
      <c r="W70" s="13">
        <f>$I$18*$W$18</f>
        <v>0</v>
      </c>
      <c r="X70" s="13">
        <f>$I$18*$X$18</f>
        <v>71.589062154740461</v>
      </c>
      <c r="Y70" s="13">
        <f>$I$18*$Y$18</f>
        <v>0</v>
      </c>
      <c r="Z70" s="13">
        <f>$I$18*$Z$18</f>
        <v>0</v>
      </c>
      <c r="AA70" s="13">
        <f>$I$18*$AA$18</f>
        <v>209.11047256588253</v>
      </c>
      <c r="AB70" s="13">
        <f ca="1">$I$18*$AB$18</f>
        <v>-5.8613782991726016</v>
      </c>
      <c r="AC70" s="13">
        <f ca="1">$I$18*$AC$18</f>
        <v>0</v>
      </c>
      <c r="AD70" s="13">
        <f>$I$18*$AD$18</f>
        <v>7.200816623025295</v>
      </c>
      <c r="AE70" s="13">
        <f>$I$18*$AE$18</f>
        <v>0</v>
      </c>
      <c r="AF70" s="13">
        <f ca="1">$I$18*$AF$18</f>
        <v>0</v>
      </c>
      <c r="AG70" s="13">
        <f ca="1">$I$18*$AG$18</f>
        <v>0</v>
      </c>
      <c r="AI70" s="13">
        <f>$I$18*$AI$18</f>
        <v>0</v>
      </c>
      <c r="AJ70" s="13">
        <f>$I$18*$AJ$18</f>
        <v>0.66019649191944096</v>
      </c>
      <c r="AK70" s="13">
        <f>$I$18*$AK$18</f>
        <v>0</v>
      </c>
      <c r="AL70" s="13">
        <f>$I$18*$AL$18</f>
        <v>0</v>
      </c>
      <c r="AM70" s="13">
        <f>$I$18*$AM$18</f>
        <v>0</v>
      </c>
      <c r="AN70" s="13">
        <f>$I$18*$AN$18</f>
        <v>17.606834941193561</v>
      </c>
      <c r="AO70" s="13">
        <f>$I$18*$AO$18</f>
        <v>2.7331932737352904</v>
      </c>
      <c r="AP70" s="13">
        <f>$I$18*$AP$18</f>
        <v>0</v>
      </c>
      <c r="AQ70" s="13">
        <f>$I$18*$AQ$18</f>
        <v>0</v>
      </c>
      <c r="AR70" s="13">
        <f>$I$18*$AR$18</f>
        <v>0</v>
      </c>
      <c r="AS70" s="13">
        <f>$I$18*$AS$18</f>
        <v>0</v>
      </c>
      <c r="AT70" s="13">
        <f>$I$18*$AT$18</f>
        <v>0</v>
      </c>
      <c r="AU70" s="13">
        <f>$I$18*$AU$18</f>
        <v>53.160478353947042</v>
      </c>
      <c r="AV70" s="13">
        <f>$I$18*$AV$18</f>
        <v>0</v>
      </c>
      <c r="AW70" s="13">
        <f>$I$18*$AW$18</f>
        <v>0</v>
      </c>
      <c r="AX70" s="13">
        <f>$I$18*$AX$18</f>
        <v>180.11757408476913</v>
      </c>
      <c r="AY70" s="13">
        <f>$I$18*$AY$18</f>
        <v>0</v>
      </c>
      <c r="AZ70" s="13">
        <f>$I$18*$AZ$18</f>
        <v>0</v>
      </c>
      <c r="BA70" s="13">
        <f>$I$18*$BA$18</f>
        <v>9.1887828502389315</v>
      </c>
      <c r="BB70" s="13">
        <f>$I$18*$BB$18</f>
        <v>0</v>
      </c>
      <c r="BC70" s="13">
        <f>$I$18*$BC$18</f>
        <v>0</v>
      </c>
      <c r="BD70" s="13">
        <f>$I$18*$BD$18</f>
        <v>0</v>
      </c>
    </row>
    <row r="71" spans="1:56" ht="11.25" customHeight="1" x14ac:dyDescent="0.25">
      <c r="A71" s="9" t="s">
        <v>22</v>
      </c>
      <c r="B71" s="9" t="s">
        <v>733</v>
      </c>
      <c r="C71" s="9" t="s">
        <v>734</v>
      </c>
      <c r="D71" s="9" t="s">
        <v>735</v>
      </c>
      <c r="E71" s="9" t="s">
        <v>736</v>
      </c>
      <c r="F71" s="9" t="s">
        <v>737</v>
      </c>
      <c r="G71" s="9" t="s">
        <v>740</v>
      </c>
      <c r="L71" s="13">
        <f>$I$19*$L$19</f>
        <v>0</v>
      </c>
      <c r="M71" s="13">
        <f>$I$19*$M$19</f>
        <v>6.240635772558794</v>
      </c>
      <c r="N71" s="13">
        <f ca="1">$I$19*$N$19</f>
        <v>0</v>
      </c>
      <c r="O71" s="13">
        <f>$I$19*$O$19</f>
        <v>0</v>
      </c>
      <c r="P71" s="13">
        <f>$I$19*$P$19</f>
        <v>0</v>
      </c>
      <c r="Q71" s="13">
        <f>$I$19*$Q$19</f>
        <v>206.61822203314551</v>
      </c>
      <c r="R71" s="13">
        <f>$I$19*$R$19</f>
        <v>32.543827771214652</v>
      </c>
      <c r="S71" s="13">
        <f>$I$19*$S$19</f>
        <v>0</v>
      </c>
      <c r="T71" s="13">
        <f>$I$19*$T$19</f>
        <v>0</v>
      </c>
      <c r="U71" s="13">
        <f>$I$19*$U$19</f>
        <v>0</v>
      </c>
      <c r="V71" s="13">
        <f>$I$19*$V$19</f>
        <v>0</v>
      </c>
      <c r="W71" s="13">
        <f>$I$19*$W$19</f>
        <v>0</v>
      </c>
      <c r="X71" s="13">
        <f>$I$19*$X$19</f>
        <v>178.85122395122787</v>
      </c>
      <c r="Y71" s="13">
        <f>$I$19*$Y$19</f>
        <v>0</v>
      </c>
      <c r="Z71" s="13">
        <f>$I$19*$Z$19</f>
        <v>0</v>
      </c>
      <c r="AA71" s="13">
        <f>$I$19*$AA$19</f>
        <v>522.42151580737607</v>
      </c>
      <c r="AB71" s="13">
        <f ca="1">$I$19*$AB$19</f>
        <v>-17.430452860042283</v>
      </c>
      <c r="AC71" s="13">
        <f ca="1">$I$19*$AC$19</f>
        <v>0</v>
      </c>
      <c r="AD71" s="13">
        <f>$I$19*$AD$19</f>
        <v>53.969510350877712</v>
      </c>
      <c r="AE71" s="13">
        <f>$I$19*$AE$19</f>
        <v>0</v>
      </c>
      <c r="AF71" s="13">
        <f ca="1">$I$19*$AF$19</f>
        <v>0</v>
      </c>
      <c r="AG71" s="13">
        <f ca="1">$I$19*$AG$19</f>
        <v>0</v>
      </c>
      <c r="AI71" s="13">
        <f>$I$19*$AI$19</f>
        <v>0</v>
      </c>
      <c r="AJ71" s="13">
        <f>$I$19*$AJ$19</f>
        <v>4.9481167580809622</v>
      </c>
      <c r="AK71" s="13">
        <f>$I$19*$AK$19</f>
        <v>0</v>
      </c>
      <c r="AL71" s="13">
        <f>$I$19*$AL$19</f>
        <v>0</v>
      </c>
      <c r="AM71" s="13">
        <f>$I$19*$AM$19</f>
        <v>0</v>
      </c>
      <c r="AN71" s="13">
        <f>$I$19*$AN$19</f>
        <v>131.9617357795897</v>
      </c>
      <c r="AO71" s="13">
        <f>$I$19*$AO$19</f>
        <v>20.485051960097376</v>
      </c>
      <c r="AP71" s="13">
        <f>$I$19*$AP$19</f>
        <v>0</v>
      </c>
      <c r="AQ71" s="13">
        <f>$I$19*$AQ$19</f>
        <v>0</v>
      </c>
      <c r="AR71" s="13">
        <f>$I$19*$AR$19</f>
        <v>0</v>
      </c>
      <c r="AS71" s="13">
        <f>$I$19*$AS$19</f>
        <v>0</v>
      </c>
      <c r="AT71" s="13">
        <f>$I$19*$AT$19</f>
        <v>0</v>
      </c>
      <c r="AU71" s="13">
        <f>$I$19*$AU$19</f>
        <v>132.81102160891618</v>
      </c>
      <c r="AV71" s="13">
        <f>$I$19*$AV$19</f>
        <v>0</v>
      </c>
      <c r="AW71" s="13">
        <f>$I$19*$AW$19</f>
        <v>0</v>
      </c>
      <c r="AX71" s="13">
        <f>$I$19*$AX$19</f>
        <v>449.98847699529961</v>
      </c>
      <c r="AY71" s="13">
        <f>$I$19*$AY$19</f>
        <v>0</v>
      </c>
      <c r="AZ71" s="13">
        <f>$I$19*$AZ$19</f>
        <v>0</v>
      </c>
      <c r="BA71" s="13">
        <f>$I$19*$BA$19</f>
        <v>68.869148752129746</v>
      </c>
      <c r="BB71" s="13">
        <f>$I$19*$BB$19</f>
        <v>0</v>
      </c>
      <c r="BC71" s="13">
        <f>$I$19*$BC$19</f>
        <v>0</v>
      </c>
      <c r="BD71" s="13">
        <f>$I$19*$BD$19</f>
        <v>0</v>
      </c>
    </row>
    <row r="72" spans="1:56" ht="11.25" customHeight="1" x14ac:dyDescent="0.25">
      <c r="A72" s="9" t="s">
        <v>22</v>
      </c>
      <c r="B72" s="9" t="s">
        <v>741</v>
      </c>
      <c r="C72" s="9" t="s">
        <v>742</v>
      </c>
      <c r="D72" s="9" t="s">
        <v>743</v>
      </c>
      <c r="E72" s="9" t="s">
        <v>744</v>
      </c>
      <c r="F72" s="9" t="s">
        <v>745</v>
      </c>
      <c r="G72" s="9" t="s">
        <v>746</v>
      </c>
      <c r="L72" s="13">
        <f>$I$20*$L$20</f>
        <v>0</v>
      </c>
      <c r="M72" s="13">
        <f>$I$20*$M$20</f>
        <v>33380.017618747661</v>
      </c>
      <c r="N72" s="13">
        <f ca="1">$I$20*$N$20</f>
        <v>0</v>
      </c>
      <c r="O72" s="13">
        <f>$I$20*$O$20</f>
        <v>0</v>
      </c>
      <c r="P72" s="13">
        <f>$I$20*$P$20</f>
        <v>0</v>
      </c>
      <c r="Q72" s="13">
        <f>$I$20*$Q$20</f>
        <v>1105163.0223554657</v>
      </c>
      <c r="R72" s="13">
        <f>$I$20*$R$20</f>
        <v>174070.97353147125</v>
      </c>
      <c r="S72" s="13">
        <f>$I$20*$S$20</f>
        <v>0</v>
      </c>
      <c r="T72" s="13">
        <f>$I$20*$T$20</f>
        <v>0</v>
      </c>
      <c r="U72" s="13">
        <f>$I$20*$U$20</f>
        <v>0</v>
      </c>
      <c r="V72" s="13">
        <f>$I$20*$V$20</f>
        <v>0</v>
      </c>
      <c r="W72" s="13">
        <f>$I$20*$W$20</f>
        <v>0</v>
      </c>
      <c r="X72" s="13">
        <f>$I$20*$X$20</f>
        <v>1650024.8531471305</v>
      </c>
      <c r="Y72" s="13">
        <f>$I$20*$Y$20</f>
        <v>0</v>
      </c>
      <c r="Z72" s="13">
        <f>$I$20*$Z$20</f>
        <v>0</v>
      </c>
      <c r="AA72" s="13">
        <f>$I$20*$AA$20</f>
        <v>4817824.6368997749</v>
      </c>
      <c r="AB72" s="13">
        <f ca="1">$I$20*$AB$20</f>
        <v>-144562.90669423903</v>
      </c>
      <c r="AC72" s="13">
        <f ca="1">$I$20*$AC$20</f>
        <v>0</v>
      </c>
      <c r="AD72" s="13">
        <f>$I$20*$AD$20</f>
        <v>288673.02499995567</v>
      </c>
      <c r="AE72" s="13">
        <f>$I$20*$AE$20</f>
        <v>0</v>
      </c>
      <c r="AF72" s="13">
        <f ca="1">$I$20*$AF$20</f>
        <v>0</v>
      </c>
      <c r="AG72" s="13">
        <f ca="1">$I$20*$AG$20</f>
        <v>0</v>
      </c>
      <c r="AI72" s="13">
        <f>$I$20*$AI$20</f>
        <v>0</v>
      </c>
      <c r="AJ72" s="13">
        <f>$I$20*$AJ$20</f>
        <v>26466.570167520058</v>
      </c>
      <c r="AK72" s="13">
        <f>$I$20*$AK$20</f>
        <v>0</v>
      </c>
      <c r="AL72" s="13">
        <f>$I$20*$AL$20</f>
        <v>0</v>
      </c>
      <c r="AM72" s="13">
        <f>$I$20*$AM$20</f>
        <v>0</v>
      </c>
      <c r="AN72" s="13">
        <f>$I$20*$AN$20</f>
        <v>705839.15258959762</v>
      </c>
      <c r="AO72" s="13">
        <f>$I$20*$AO$20</f>
        <v>109570.79058447322</v>
      </c>
      <c r="AP72" s="13">
        <f>$I$20*$AP$20</f>
        <v>0</v>
      </c>
      <c r="AQ72" s="13">
        <f>$I$20*$AQ$20</f>
        <v>0</v>
      </c>
      <c r="AR72" s="13">
        <f>$I$20*$AR$20</f>
        <v>0</v>
      </c>
      <c r="AS72" s="13">
        <f>$I$20*$AS$20</f>
        <v>0</v>
      </c>
      <c r="AT72" s="13">
        <f>$I$20*$AT$20</f>
        <v>0</v>
      </c>
      <c r="AU72" s="13">
        <f>$I$20*$AU$20</f>
        <v>1225272.0072168624</v>
      </c>
      <c r="AV72" s="13">
        <f>$I$20*$AV$20</f>
        <v>0</v>
      </c>
      <c r="AW72" s="13">
        <f>$I$20*$AW$20</f>
        <v>0</v>
      </c>
      <c r="AX72" s="13">
        <f>$I$20*$AX$20</f>
        <v>4149839.3963516122</v>
      </c>
      <c r="AY72" s="13">
        <f>$I$20*$AY$20</f>
        <v>0</v>
      </c>
      <c r="AZ72" s="13">
        <f>$I$20*$AZ$20</f>
        <v>0</v>
      </c>
      <c r="BA72" s="13">
        <f>$I$20*$BA$20</f>
        <v>368368.46156648319</v>
      </c>
      <c r="BB72" s="13">
        <f>$I$20*$BB$20</f>
        <v>0</v>
      </c>
      <c r="BC72" s="13">
        <f>$I$20*$BC$20</f>
        <v>0</v>
      </c>
      <c r="BD72" s="13">
        <f>$I$20*$BD$20</f>
        <v>0</v>
      </c>
    </row>
    <row r="73" spans="1:56" ht="11.25" customHeight="1" x14ac:dyDescent="0.25">
      <c r="A73" s="9" t="s">
        <v>22</v>
      </c>
      <c r="B73" s="9" t="s">
        <v>741</v>
      </c>
      <c r="C73" s="9" t="s">
        <v>742</v>
      </c>
      <c r="D73" s="9" t="s">
        <v>747</v>
      </c>
      <c r="E73" s="9" t="s">
        <v>748</v>
      </c>
      <c r="F73" s="9" t="s">
        <v>749</v>
      </c>
      <c r="G73" s="9" t="s">
        <v>750</v>
      </c>
      <c r="L73" s="13">
        <f>$I$21*$L$21</f>
        <v>0</v>
      </c>
      <c r="M73" s="13">
        <f>$I$21*$M$21</f>
        <v>110.18913610353809</v>
      </c>
      <c r="N73" s="13">
        <f ca="1">$I$21*$N$21</f>
        <v>0</v>
      </c>
      <c r="O73" s="13">
        <f>$I$21*$O$21</f>
        <v>0</v>
      </c>
      <c r="P73" s="13">
        <f>$I$21*$P$21</f>
        <v>0</v>
      </c>
      <c r="Q73" s="13">
        <f>$I$21*$Q$21</f>
        <v>0</v>
      </c>
      <c r="R73" s="13">
        <f>$I$21*$R$21</f>
        <v>0</v>
      </c>
      <c r="S73" s="13">
        <f>$I$21*$S$21</f>
        <v>0</v>
      </c>
      <c r="T73" s="13">
        <f>$I$21*$T$21</f>
        <v>0</v>
      </c>
      <c r="U73" s="13">
        <f>$I$21*$U$21</f>
        <v>0</v>
      </c>
      <c r="V73" s="13">
        <f>$I$21*$V$21</f>
        <v>0</v>
      </c>
      <c r="W73" s="13">
        <f>$I$21*$W$21</f>
        <v>0</v>
      </c>
      <c r="X73" s="13">
        <f>$I$21*$X$21</f>
        <v>5446.815972186143</v>
      </c>
      <c r="Y73" s="13">
        <f>$I$21*$Y$21</f>
        <v>0</v>
      </c>
      <c r="Z73" s="13">
        <f>$I$21*$Z$21</f>
        <v>0</v>
      </c>
      <c r="AA73" s="13">
        <f>$I$21*$AA$21</f>
        <v>15903.88419508106</v>
      </c>
      <c r="AB73" s="13">
        <f ca="1">$I$21*$AB$21</f>
        <v>-418.62066943711426</v>
      </c>
      <c r="AC73" s="13">
        <f ca="1">$I$21*$AC$21</f>
        <v>0</v>
      </c>
      <c r="AD73" s="13">
        <f>$I$21*$AD$21</f>
        <v>952.92433947893028</v>
      </c>
      <c r="AE73" s="13">
        <f>$I$21*$AE$21</f>
        <v>0</v>
      </c>
      <c r="AF73" s="13">
        <f ca="1">$I$21*$AF$21</f>
        <v>0</v>
      </c>
      <c r="AG73" s="13">
        <f ca="1">$I$21*$AG$21</f>
        <v>0</v>
      </c>
      <c r="AI73" s="13">
        <f>$I$21*$AI$21</f>
        <v>0</v>
      </c>
      <c r="AJ73" s="13">
        <f>$I$21*$AJ$21</f>
        <v>87.367494400146001</v>
      </c>
      <c r="AK73" s="13">
        <f>$I$21*$AK$21</f>
        <v>0</v>
      </c>
      <c r="AL73" s="13">
        <f>$I$21*$AL$21</f>
        <v>0</v>
      </c>
      <c r="AM73" s="13">
        <f>$I$21*$AM$21</f>
        <v>0</v>
      </c>
      <c r="AN73" s="13">
        <f>$I$21*$AN$21</f>
        <v>0</v>
      </c>
      <c r="AO73" s="13">
        <f>$I$21*$AO$21</f>
        <v>0</v>
      </c>
      <c r="AP73" s="13">
        <f>$I$21*$AP$21</f>
        <v>0</v>
      </c>
      <c r="AQ73" s="13">
        <f>$I$21*$AQ$21</f>
        <v>0</v>
      </c>
      <c r="AR73" s="13">
        <f>$I$21*$AR$21</f>
        <v>0</v>
      </c>
      <c r="AS73" s="13">
        <f>$I$21*$AS$21</f>
        <v>0</v>
      </c>
      <c r="AT73" s="13">
        <f>$I$21*$AT$21</f>
        <v>0</v>
      </c>
      <c r="AU73" s="13">
        <f>$I$21*$AU$21</f>
        <v>4044.6852218329977</v>
      </c>
      <c r="AV73" s="13">
        <f>$I$21*$AV$21</f>
        <v>0</v>
      </c>
      <c r="AW73" s="13">
        <f>$I$21*$AW$21</f>
        <v>0</v>
      </c>
      <c r="AX73" s="13">
        <f>$I$21*$AX$21</f>
        <v>13698.83093757236</v>
      </c>
      <c r="AY73" s="13">
        <f>$I$21*$AY$21</f>
        <v>0</v>
      </c>
      <c r="AZ73" s="13">
        <f>$I$21*$AZ$21</f>
        <v>0</v>
      </c>
      <c r="BA73" s="13">
        <f>$I$21*$BA$21</f>
        <v>1216.0030294592498</v>
      </c>
      <c r="BB73" s="13">
        <f>$I$21*$BB$21</f>
        <v>0</v>
      </c>
      <c r="BC73" s="13">
        <f>$I$21*$BC$21</f>
        <v>0</v>
      </c>
      <c r="BD73" s="13">
        <f>$I$21*$BD$21</f>
        <v>0</v>
      </c>
    </row>
    <row r="74" spans="1:56" ht="11.25" customHeight="1" x14ac:dyDescent="0.25">
      <c r="A74" s="9" t="s">
        <v>22</v>
      </c>
      <c r="B74" s="9" t="s">
        <v>741</v>
      </c>
      <c r="C74" s="9" t="s">
        <v>742</v>
      </c>
      <c r="D74" s="9" t="s">
        <v>751</v>
      </c>
      <c r="E74" s="9" t="s">
        <v>752</v>
      </c>
      <c r="F74" s="9" t="s">
        <v>753</v>
      </c>
      <c r="G74" s="9" t="s">
        <v>754</v>
      </c>
      <c r="L74" s="13">
        <f>$I$22*$L$22</f>
        <v>0</v>
      </c>
      <c r="M74" s="13">
        <f>$I$22*$M$22</f>
        <v>373.7183986728391</v>
      </c>
      <c r="N74" s="13">
        <f ca="1">$I$22*$N$22</f>
        <v>0</v>
      </c>
      <c r="O74" s="13">
        <f>$I$22*$O$22</f>
        <v>0</v>
      </c>
      <c r="P74" s="13">
        <f>$I$22*$P$22</f>
        <v>0</v>
      </c>
      <c r="Q74" s="13">
        <f>$I$22*$Q$22</f>
        <v>0</v>
      </c>
      <c r="R74" s="13">
        <f>$I$22*$R$22</f>
        <v>0</v>
      </c>
      <c r="S74" s="13">
        <f>$I$22*$S$22</f>
        <v>0</v>
      </c>
      <c r="T74" s="13">
        <f>$I$22*$T$22</f>
        <v>0</v>
      </c>
      <c r="U74" s="13">
        <f>$I$22*$U$22</f>
        <v>0</v>
      </c>
      <c r="V74" s="13">
        <f>$I$22*$V$22</f>
        <v>0</v>
      </c>
      <c r="W74" s="13">
        <f>$I$22*$W$22</f>
        <v>0</v>
      </c>
      <c r="X74" s="13">
        <f>$I$22*$X$22</f>
        <v>18473.466758813141</v>
      </c>
      <c r="Y74" s="13">
        <f>$I$22*$Y$22</f>
        <v>0</v>
      </c>
      <c r="Z74" s="13">
        <f>$I$22*$Z$22</f>
        <v>0</v>
      </c>
      <c r="AA74" s="13">
        <f>$I$22*$AA$22</f>
        <v>53939.747095205006</v>
      </c>
      <c r="AB74" s="13">
        <f ca="1">$I$22*$AB$22</f>
        <v>-1419.7973753636397</v>
      </c>
      <c r="AC74" s="13">
        <f ca="1">$I$22*$AC$22</f>
        <v>0</v>
      </c>
      <c r="AD74" s="13">
        <f>$I$22*$AD$22</f>
        <v>3231.946186344624</v>
      </c>
      <c r="AE74" s="13">
        <f>$I$22*$AE$22</f>
        <v>0</v>
      </c>
      <c r="AF74" s="13">
        <f ca="1">$I$22*$AF$22</f>
        <v>0</v>
      </c>
      <c r="AG74" s="13">
        <f ca="1">$I$22*$AG$22</f>
        <v>0</v>
      </c>
      <c r="AI74" s="13">
        <f>$I$22*$AI$22</f>
        <v>0</v>
      </c>
      <c r="AJ74" s="13">
        <f>$I$22*$AJ$22</f>
        <v>296.31632716133504</v>
      </c>
      <c r="AK74" s="13">
        <f>$I$22*$AK$22</f>
        <v>0</v>
      </c>
      <c r="AL74" s="13">
        <f>$I$22*$AL$22</f>
        <v>0</v>
      </c>
      <c r="AM74" s="13">
        <f>$I$22*$AM$22</f>
        <v>0</v>
      </c>
      <c r="AN74" s="13">
        <f>$I$22*$AN$22</f>
        <v>0</v>
      </c>
      <c r="AO74" s="13">
        <f>$I$22*$AO$22</f>
        <v>0</v>
      </c>
      <c r="AP74" s="13">
        <f>$I$22*$AP$22</f>
        <v>0</v>
      </c>
      <c r="AQ74" s="13">
        <f>$I$22*$AQ$22</f>
        <v>0</v>
      </c>
      <c r="AR74" s="13">
        <f>$I$22*$AR$22</f>
        <v>0</v>
      </c>
      <c r="AS74" s="13">
        <f>$I$22*$AS$22</f>
        <v>0</v>
      </c>
      <c r="AT74" s="13">
        <f>$I$22*$AT$22</f>
        <v>0</v>
      </c>
      <c r="AU74" s="13">
        <f>$I$22*$AU$22</f>
        <v>13717.988339783242</v>
      </c>
      <c r="AV74" s="13">
        <f>$I$22*$AV$22</f>
        <v>0</v>
      </c>
      <c r="AW74" s="13">
        <f>$I$22*$AW$22</f>
        <v>0</v>
      </c>
      <c r="AX74" s="13">
        <f>$I$22*$AX$22</f>
        <v>46461.069963095069</v>
      </c>
      <c r="AY74" s="13">
        <f>$I$22*$AY$22</f>
        <v>0</v>
      </c>
      <c r="AZ74" s="13">
        <f>$I$22*$AZ$22</f>
        <v>0</v>
      </c>
      <c r="BA74" s="13">
        <f>$I$22*$BA$22</f>
        <v>4124.2060789351963</v>
      </c>
      <c r="BB74" s="13">
        <f>$I$22*$BB$22</f>
        <v>0</v>
      </c>
      <c r="BC74" s="13">
        <f>$I$22*$BC$22</f>
        <v>0</v>
      </c>
      <c r="BD74" s="13">
        <f>$I$22*$BD$22</f>
        <v>0</v>
      </c>
    </row>
    <row r="75" spans="1:56" ht="11.25" customHeight="1" x14ac:dyDescent="0.25">
      <c r="A75" s="9" t="s">
        <v>22</v>
      </c>
      <c r="B75" s="9" t="s">
        <v>741</v>
      </c>
      <c r="C75" s="9" t="s">
        <v>742</v>
      </c>
      <c r="D75" s="9" t="s">
        <v>755</v>
      </c>
      <c r="E75" s="9" t="s">
        <v>756</v>
      </c>
      <c r="F75" s="9" t="s">
        <v>757</v>
      </c>
      <c r="G75" s="9" t="s">
        <v>758</v>
      </c>
      <c r="L75" s="13">
        <f>$I$23*$L$23</f>
        <v>0</v>
      </c>
      <c r="M75" s="13">
        <f>$I$23*$M$23</f>
        <v>521.33526093416174</v>
      </c>
      <c r="N75" s="13">
        <f ca="1">$I$23*$N$23</f>
        <v>0</v>
      </c>
      <c r="O75" s="13">
        <f>$I$23*$O$23</f>
        <v>0</v>
      </c>
      <c r="P75" s="13">
        <f>$I$23*$P$23</f>
        <v>0</v>
      </c>
      <c r="Q75" s="13">
        <f>$I$23*$Q$23</f>
        <v>0</v>
      </c>
      <c r="R75" s="13">
        <f>$I$23*$R$23</f>
        <v>0</v>
      </c>
      <c r="S75" s="13">
        <f>$I$23*$S$23</f>
        <v>0</v>
      </c>
      <c r="T75" s="13">
        <f>$I$23*$T$23</f>
        <v>0</v>
      </c>
      <c r="U75" s="13">
        <f>$I$23*$U$23</f>
        <v>0</v>
      </c>
      <c r="V75" s="13">
        <f>$I$23*$V$23</f>
        <v>0</v>
      </c>
      <c r="W75" s="13">
        <f>$I$23*$W$23</f>
        <v>0</v>
      </c>
      <c r="X75" s="13">
        <f>$I$23*$X$23</f>
        <v>25770.391950907073</v>
      </c>
      <c r="Y75" s="13">
        <f>$I$23*$Y$23</f>
        <v>0</v>
      </c>
      <c r="Z75" s="13">
        <f>$I$23*$Z$23</f>
        <v>0</v>
      </c>
      <c r="AA75" s="13">
        <f>$I$23*$AA$23</f>
        <v>75245.672213261394</v>
      </c>
      <c r="AB75" s="13">
        <f ca="1">$I$23*$AB$23</f>
        <v>-1980.6101005126568</v>
      </c>
      <c r="AC75" s="13">
        <f ca="1">$I$23*$AC$23</f>
        <v>0</v>
      </c>
      <c r="AD75" s="13">
        <f>$I$23*$AD$23</f>
        <v>4508.5484535059359</v>
      </c>
      <c r="AE75" s="13">
        <f>$I$23*$AE$23</f>
        <v>0</v>
      </c>
      <c r="AF75" s="13">
        <f ca="1">$I$23*$AF$23</f>
        <v>0</v>
      </c>
      <c r="AG75" s="13">
        <f ca="1">$I$23*$AG$23</f>
        <v>0</v>
      </c>
      <c r="AI75" s="13">
        <f>$I$23*$AI$23</f>
        <v>0</v>
      </c>
      <c r="AJ75" s="13">
        <f>$I$23*$AJ$23</f>
        <v>413.35976577096972</v>
      </c>
      <c r="AK75" s="13">
        <f>$I$23*$AK$23</f>
        <v>0</v>
      </c>
      <c r="AL75" s="13">
        <f>$I$23*$AL$23</f>
        <v>0</v>
      </c>
      <c r="AM75" s="13">
        <f>$I$23*$AM$23</f>
        <v>0</v>
      </c>
      <c r="AN75" s="13">
        <f>$I$23*$AN$23</f>
        <v>0</v>
      </c>
      <c r="AO75" s="13">
        <f>$I$23*$AO$23</f>
        <v>0</v>
      </c>
      <c r="AP75" s="13">
        <f>$I$23*$AP$23</f>
        <v>0</v>
      </c>
      <c r="AQ75" s="13">
        <f>$I$23*$AQ$23</f>
        <v>0</v>
      </c>
      <c r="AR75" s="13">
        <f>$I$23*$AR$23</f>
        <v>0</v>
      </c>
      <c r="AS75" s="13">
        <f>$I$23*$AS$23</f>
        <v>0</v>
      </c>
      <c r="AT75" s="13">
        <f>$I$23*$AT$23</f>
        <v>0</v>
      </c>
      <c r="AU75" s="13">
        <f>$I$23*$AU$23</f>
        <v>19136.523799764578</v>
      </c>
      <c r="AV75" s="13">
        <f>$I$23*$AV$23</f>
        <v>0</v>
      </c>
      <c r="AW75" s="13">
        <f>$I$23*$AW$23</f>
        <v>0</v>
      </c>
      <c r="AX75" s="13">
        <f>$I$23*$AX$23</f>
        <v>64812.95574022529</v>
      </c>
      <c r="AY75" s="13">
        <f>$I$23*$AY$23</f>
        <v>0</v>
      </c>
      <c r="AZ75" s="13">
        <f>$I$23*$AZ$23</f>
        <v>0</v>
      </c>
      <c r="BA75" s="13">
        <f>$I$23*$BA$23</f>
        <v>5753.2464549335118</v>
      </c>
      <c r="BB75" s="13">
        <f>$I$23*$BB$23</f>
        <v>0</v>
      </c>
      <c r="BC75" s="13">
        <f>$I$23*$BC$23</f>
        <v>0</v>
      </c>
      <c r="BD75" s="13">
        <f>$I$23*$BD$23</f>
        <v>0</v>
      </c>
    </row>
    <row r="76" spans="1:56" ht="11.25" customHeight="1" x14ac:dyDescent="0.25">
      <c r="A76" s="9" t="s">
        <v>22</v>
      </c>
      <c r="B76" s="9" t="s">
        <v>741</v>
      </c>
      <c r="C76" s="9" t="s">
        <v>742</v>
      </c>
      <c r="D76" s="9" t="s">
        <v>759</v>
      </c>
      <c r="E76" s="9" t="s">
        <v>760</v>
      </c>
      <c r="F76" s="9" t="s">
        <v>761</v>
      </c>
      <c r="G76" s="9" t="s">
        <v>762</v>
      </c>
      <c r="L76" s="13">
        <f>$I$24*$L$24</f>
        <v>0</v>
      </c>
      <c r="M76" s="13">
        <f>$I$24*$M$24</f>
        <v>212.56548169669961</v>
      </c>
      <c r="N76" s="13">
        <f ca="1">$I$24*$N$24</f>
        <v>0</v>
      </c>
      <c r="O76" s="13">
        <f>$I$24*$O$24</f>
        <v>0</v>
      </c>
      <c r="P76" s="13">
        <f>$I$24*$P$24</f>
        <v>0</v>
      </c>
      <c r="Q76" s="13">
        <f>$I$24*$Q$24</f>
        <v>0</v>
      </c>
      <c r="R76" s="13">
        <f>$I$24*$R$24</f>
        <v>0</v>
      </c>
      <c r="S76" s="13">
        <f>$I$24*$S$24</f>
        <v>0</v>
      </c>
      <c r="T76" s="13">
        <f>$I$24*$T$24</f>
        <v>0</v>
      </c>
      <c r="U76" s="13">
        <f>$I$24*$U$24</f>
        <v>0</v>
      </c>
      <c r="V76" s="13">
        <f>$I$24*$V$24</f>
        <v>0</v>
      </c>
      <c r="W76" s="13">
        <f>$I$24*$W$24</f>
        <v>0</v>
      </c>
      <c r="X76" s="13">
        <f>$I$24*$X$24</f>
        <v>10507.433870369079</v>
      </c>
      <c r="Y76" s="13">
        <f>$I$24*$Y$24</f>
        <v>0</v>
      </c>
      <c r="Z76" s="13">
        <f>$I$24*$Z$24</f>
        <v>0</v>
      </c>
      <c r="AA76" s="13">
        <f>$I$24*$AA$24</f>
        <v>30680.128044559413</v>
      </c>
      <c r="AB76" s="13">
        <f ca="1">$I$24*$AB$24</f>
        <v>-807.55968685952723</v>
      </c>
      <c r="AC76" s="13">
        <f ca="1">$I$24*$AC$24</f>
        <v>0</v>
      </c>
      <c r="AD76" s="13">
        <f>$I$24*$AD$24</f>
        <v>1838.2830504407964</v>
      </c>
      <c r="AE76" s="13">
        <f>$I$24*$AE$24</f>
        <v>0</v>
      </c>
      <c r="AF76" s="13">
        <f ca="1">$I$24*$AF$24</f>
        <v>0</v>
      </c>
      <c r="AG76" s="13">
        <f ca="1">$I$24*$AG$24</f>
        <v>0</v>
      </c>
      <c r="AI76" s="13">
        <f>$I$24*$AI$24</f>
        <v>0</v>
      </c>
      <c r="AJ76" s="13">
        <f>$I$24*$AJ$24</f>
        <v>168.54033154729862</v>
      </c>
      <c r="AK76" s="13">
        <f>$I$24*$AK$24</f>
        <v>0</v>
      </c>
      <c r="AL76" s="13">
        <f>$I$24*$AL$24</f>
        <v>0</v>
      </c>
      <c r="AM76" s="13">
        <f>$I$24*$AM$24</f>
        <v>0</v>
      </c>
      <c r="AN76" s="13">
        <f>$I$24*$AN$24</f>
        <v>0</v>
      </c>
      <c r="AO76" s="13">
        <f>$I$24*$AO$24</f>
        <v>0</v>
      </c>
      <c r="AP76" s="13">
        <f>$I$24*$AP$24</f>
        <v>0</v>
      </c>
      <c r="AQ76" s="13">
        <f>$I$24*$AQ$24</f>
        <v>0</v>
      </c>
      <c r="AR76" s="13">
        <f>$I$24*$AR$24</f>
        <v>0</v>
      </c>
      <c r="AS76" s="13">
        <f>$I$24*$AS$24</f>
        <v>0</v>
      </c>
      <c r="AT76" s="13">
        <f>$I$24*$AT$24</f>
        <v>0</v>
      </c>
      <c r="AU76" s="13">
        <f>$I$24*$AU$24</f>
        <v>7802.5882849520731</v>
      </c>
      <c r="AV76" s="13">
        <f>$I$24*$AV$24</f>
        <v>0</v>
      </c>
      <c r="AW76" s="13">
        <f>$I$24*$AW$24</f>
        <v>0</v>
      </c>
      <c r="AX76" s="13">
        <f>$I$24*$AX$24</f>
        <v>26426.367425102526</v>
      </c>
      <c r="AY76" s="13">
        <f>$I$24*$AY$24</f>
        <v>0</v>
      </c>
      <c r="AZ76" s="13">
        <f>$I$24*$AZ$24</f>
        <v>0</v>
      </c>
      <c r="BA76" s="13">
        <f>$I$24*$BA$24</f>
        <v>2345.7872422084538</v>
      </c>
      <c r="BB76" s="13">
        <f>$I$24*$BB$24</f>
        <v>0</v>
      </c>
      <c r="BC76" s="13">
        <f>$I$24*$BC$24</f>
        <v>0</v>
      </c>
      <c r="BD76" s="13">
        <f>$I$24*$BD$24</f>
        <v>0</v>
      </c>
    </row>
    <row r="77" spans="1:56" ht="11.25" customHeight="1" x14ac:dyDescent="0.25">
      <c r="A77" s="9" t="s">
        <v>22</v>
      </c>
      <c r="B77" s="9" t="s">
        <v>763</v>
      </c>
      <c r="C77" s="9" t="s">
        <v>764</v>
      </c>
      <c r="D77" s="9" t="s">
        <v>765</v>
      </c>
      <c r="E77" s="9" t="s">
        <v>766</v>
      </c>
      <c r="F77" s="9" t="s">
        <v>767</v>
      </c>
      <c r="G77" s="9" t="s">
        <v>768</v>
      </c>
      <c r="L77" s="13">
        <f>$I$25*$L$25</f>
        <v>0</v>
      </c>
      <c r="M77" s="13">
        <f>$I$25*$M$25</f>
        <v>0</v>
      </c>
      <c r="N77" s="13">
        <f ca="1">$I$25*$N$25</f>
        <v>0</v>
      </c>
      <c r="O77" s="13">
        <f>$I$25*$O$25</f>
        <v>0</v>
      </c>
      <c r="P77" s="13">
        <f>$I$25*$P$25</f>
        <v>0</v>
      </c>
      <c r="Q77" s="13">
        <f>$I$25*$Q$25</f>
        <v>0</v>
      </c>
      <c r="R77" s="13">
        <f>$I$25*$R$25</f>
        <v>0</v>
      </c>
      <c r="S77" s="13">
        <f>$I$25*$S$25</f>
        <v>0</v>
      </c>
      <c r="T77" s="13">
        <f>$I$25*$T$25</f>
        <v>0</v>
      </c>
      <c r="U77" s="13">
        <f>$I$25*$U$25</f>
        <v>0</v>
      </c>
      <c r="V77" s="13">
        <f>$I$25*$V$25</f>
        <v>0</v>
      </c>
      <c r="W77" s="13">
        <f>$I$25*$W$25</f>
        <v>0</v>
      </c>
      <c r="X77" s="13">
        <f>$I$25*$X$25</f>
        <v>0</v>
      </c>
      <c r="Y77" s="13">
        <f>$I$25*$Y$25</f>
        <v>0</v>
      </c>
      <c r="Z77" s="13">
        <f>$I$25*$Z$25</f>
        <v>0</v>
      </c>
      <c r="AA77" s="13">
        <f>$I$25*$AA$25</f>
        <v>0</v>
      </c>
      <c r="AB77" s="13">
        <f ca="1">$I$25*$AB$25</f>
        <v>0</v>
      </c>
      <c r="AC77" s="13">
        <f ca="1">$I$25*$AC$25</f>
        <v>0</v>
      </c>
      <c r="AD77" s="13">
        <f>$I$25*$AD$25</f>
        <v>0</v>
      </c>
      <c r="AE77" s="13">
        <f>$I$25*$AE$25</f>
        <v>0</v>
      </c>
      <c r="AF77" s="13">
        <f ca="1">$I$25*$AF$25</f>
        <v>0</v>
      </c>
      <c r="AG77" s="13">
        <f ca="1">$I$25*$AG$25</f>
        <v>0</v>
      </c>
      <c r="AI77" s="13">
        <f>$I$25*$AI$25</f>
        <v>0</v>
      </c>
      <c r="AJ77" s="13">
        <f>$I$25*$AJ$25</f>
        <v>0</v>
      </c>
      <c r="AK77" s="13">
        <f>$I$25*$AK$25</f>
        <v>0</v>
      </c>
      <c r="AL77" s="13">
        <f>$I$25*$AL$25</f>
        <v>0</v>
      </c>
      <c r="AM77" s="13">
        <f>$I$25*$AM$25</f>
        <v>0</v>
      </c>
      <c r="AN77" s="13">
        <f>$I$25*$AN$25</f>
        <v>0</v>
      </c>
      <c r="AO77" s="13">
        <f>$I$25*$AO$25</f>
        <v>0</v>
      </c>
      <c r="AP77" s="13">
        <f>$I$25*$AP$25</f>
        <v>0</v>
      </c>
      <c r="AQ77" s="13">
        <f>$I$25*$AQ$25</f>
        <v>0</v>
      </c>
      <c r="AR77" s="13">
        <f>$I$25*$AR$25</f>
        <v>0</v>
      </c>
      <c r="AS77" s="13">
        <f>$I$25*$AS$25</f>
        <v>0</v>
      </c>
      <c r="AT77" s="13">
        <f>$I$25*$AT$25</f>
        <v>0</v>
      </c>
      <c r="AU77" s="13">
        <f>$I$25*$AU$25</f>
        <v>0</v>
      </c>
      <c r="AV77" s="13">
        <f>$I$25*$AV$25</f>
        <v>0</v>
      </c>
      <c r="AW77" s="13">
        <f>$I$25*$AW$25</f>
        <v>0</v>
      </c>
      <c r="AX77" s="13">
        <f>$I$25*$AX$25</f>
        <v>0</v>
      </c>
      <c r="AY77" s="13">
        <f>$I$25*$AY$25</f>
        <v>0</v>
      </c>
      <c r="AZ77" s="13">
        <f>$I$25*$AZ$25</f>
        <v>0</v>
      </c>
      <c r="BA77" s="13">
        <f>$I$25*$BA$25</f>
        <v>0</v>
      </c>
      <c r="BB77" s="13">
        <f>$I$25*$BB$25</f>
        <v>0</v>
      </c>
      <c r="BC77" s="13">
        <f>$I$25*$BC$25</f>
        <v>0</v>
      </c>
      <c r="BD77" s="13">
        <f>$I$25*$BD$25</f>
        <v>0</v>
      </c>
    </row>
    <row r="78" spans="1:56" ht="11.25" customHeight="1" x14ac:dyDescent="0.25">
      <c r="A78" s="9" t="s">
        <v>22</v>
      </c>
      <c r="B78" s="9" t="s">
        <v>763</v>
      </c>
      <c r="C78" s="9" t="s">
        <v>764</v>
      </c>
      <c r="D78" s="9" t="s">
        <v>769</v>
      </c>
      <c r="E78" s="9" t="s">
        <v>770</v>
      </c>
      <c r="F78" s="9" t="s">
        <v>771</v>
      </c>
      <c r="G78" s="9" t="s">
        <v>772</v>
      </c>
      <c r="L78" s="13">
        <f>$I$26*$L$26</f>
        <v>0</v>
      </c>
      <c r="M78" s="13">
        <f>$I$26*$M$26</f>
        <v>0</v>
      </c>
      <c r="N78" s="13">
        <f ca="1">$I$26*$N$26</f>
        <v>0</v>
      </c>
      <c r="O78" s="13">
        <f>$I$26*$O$26</f>
        <v>0</v>
      </c>
      <c r="P78" s="13">
        <f>$I$26*$P$26</f>
        <v>0</v>
      </c>
      <c r="Q78" s="13">
        <f>$I$26*$Q$26</f>
        <v>0</v>
      </c>
      <c r="R78" s="13">
        <f>$I$26*$R$26</f>
        <v>0</v>
      </c>
      <c r="S78" s="13">
        <f>$I$26*$S$26</f>
        <v>0</v>
      </c>
      <c r="T78" s="13">
        <f>$I$26*$T$26</f>
        <v>0</v>
      </c>
      <c r="U78" s="13">
        <f>$I$26*$U$26</f>
        <v>0</v>
      </c>
      <c r="V78" s="13">
        <f>$I$26*$V$26</f>
        <v>0</v>
      </c>
      <c r="W78" s="13">
        <f>$I$26*$W$26</f>
        <v>0</v>
      </c>
      <c r="X78" s="13">
        <f>$I$26*$X$26</f>
        <v>0</v>
      </c>
      <c r="Y78" s="13">
        <f>$I$26*$Y$26</f>
        <v>0</v>
      </c>
      <c r="Z78" s="13">
        <f>$I$26*$Z$26</f>
        <v>0</v>
      </c>
      <c r="AA78" s="13">
        <f>$I$26*$AA$26</f>
        <v>0</v>
      </c>
      <c r="AB78" s="13">
        <f ca="1">$I$26*$AB$26</f>
        <v>0</v>
      </c>
      <c r="AC78" s="13">
        <f ca="1">$I$26*$AC$26</f>
        <v>0</v>
      </c>
      <c r="AD78" s="13">
        <f>$I$26*$AD$26</f>
        <v>0</v>
      </c>
      <c r="AE78" s="13">
        <f>$I$26*$AE$26</f>
        <v>0</v>
      </c>
      <c r="AF78" s="13">
        <f ca="1">$I$26*$AF$26</f>
        <v>0</v>
      </c>
      <c r="AG78" s="13">
        <f ca="1">$I$26*$AG$26</f>
        <v>0</v>
      </c>
      <c r="AI78" s="13">
        <f>$I$26*$AI$26</f>
        <v>0</v>
      </c>
      <c r="AJ78" s="13">
        <f>$I$26*$AJ$26</f>
        <v>0</v>
      </c>
      <c r="AK78" s="13">
        <f>$I$26*$AK$26</f>
        <v>0</v>
      </c>
      <c r="AL78" s="13">
        <f>$I$26*$AL$26</f>
        <v>0</v>
      </c>
      <c r="AM78" s="13">
        <f>$I$26*$AM$26</f>
        <v>0</v>
      </c>
      <c r="AN78" s="13">
        <f>$I$26*$AN$26</f>
        <v>0</v>
      </c>
      <c r="AO78" s="13">
        <f>$I$26*$AO$26</f>
        <v>0</v>
      </c>
      <c r="AP78" s="13">
        <f>$I$26*$AP$26</f>
        <v>0</v>
      </c>
      <c r="AQ78" s="13">
        <f>$I$26*$AQ$26</f>
        <v>0</v>
      </c>
      <c r="AR78" s="13">
        <f>$I$26*$AR$26</f>
        <v>0</v>
      </c>
      <c r="AS78" s="13">
        <f>$I$26*$AS$26</f>
        <v>0</v>
      </c>
      <c r="AT78" s="13">
        <f>$I$26*$AT$26</f>
        <v>0</v>
      </c>
      <c r="AU78" s="13">
        <f>$I$26*$AU$26</f>
        <v>0</v>
      </c>
      <c r="AV78" s="13">
        <f>$I$26*$AV$26</f>
        <v>0</v>
      </c>
      <c r="AW78" s="13">
        <f>$I$26*$AW$26</f>
        <v>0</v>
      </c>
      <c r="AX78" s="13">
        <f>$I$26*$AX$26</f>
        <v>0</v>
      </c>
      <c r="AY78" s="13">
        <f>$I$26*$AY$26</f>
        <v>0</v>
      </c>
      <c r="AZ78" s="13">
        <f>$I$26*$AZ$26</f>
        <v>0</v>
      </c>
      <c r="BA78" s="13">
        <f>$I$26*$BA$26</f>
        <v>0</v>
      </c>
      <c r="BB78" s="13">
        <f>$I$26*$BB$26</f>
        <v>0</v>
      </c>
      <c r="BC78" s="13">
        <f>$I$26*$BC$26</f>
        <v>0</v>
      </c>
      <c r="BD78" s="13">
        <f>$I$26*$BD$26</f>
        <v>0</v>
      </c>
    </row>
    <row r="79" spans="1:56" ht="11.25" customHeight="1" x14ac:dyDescent="0.25">
      <c r="A79" s="9" t="s">
        <v>22</v>
      </c>
      <c r="B79" s="9" t="s">
        <v>763</v>
      </c>
      <c r="C79" s="9" t="s">
        <v>764</v>
      </c>
      <c r="D79" s="9" t="s">
        <v>773</v>
      </c>
      <c r="E79" s="9" t="s">
        <v>774</v>
      </c>
      <c r="F79" s="9" t="s">
        <v>775</v>
      </c>
      <c r="G79" s="9" t="s">
        <v>776</v>
      </c>
      <c r="L79" s="13">
        <f>$I$27*$L$27</f>
        <v>0</v>
      </c>
      <c r="M79" s="13">
        <f>$I$27*$M$27</f>
        <v>0</v>
      </c>
      <c r="N79" s="13">
        <f ca="1">$I$27*$N$27</f>
        <v>0</v>
      </c>
      <c r="O79" s="13">
        <f>$I$27*$O$27</f>
        <v>0</v>
      </c>
      <c r="P79" s="13">
        <f>$I$27*$P$27</f>
        <v>0</v>
      </c>
      <c r="Q79" s="13">
        <f>$I$27*$Q$27</f>
        <v>0</v>
      </c>
      <c r="R79" s="13">
        <f>$I$27*$R$27</f>
        <v>0</v>
      </c>
      <c r="S79" s="13">
        <f>$I$27*$S$27</f>
        <v>0</v>
      </c>
      <c r="T79" s="13">
        <f>$I$27*$T$27</f>
        <v>0</v>
      </c>
      <c r="U79" s="13">
        <f>$I$27*$U$27</f>
        <v>0</v>
      </c>
      <c r="V79" s="13">
        <f>$I$27*$V$27</f>
        <v>0</v>
      </c>
      <c r="W79" s="13">
        <f>$I$27*$W$27</f>
        <v>0</v>
      </c>
      <c r="X79" s="13">
        <f>$I$27*$X$27</f>
        <v>0</v>
      </c>
      <c r="Y79" s="13">
        <f>$I$27*$Y$27</f>
        <v>0</v>
      </c>
      <c r="Z79" s="13">
        <f>$I$27*$Z$27</f>
        <v>0</v>
      </c>
      <c r="AA79" s="13">
        <f>$I$27*$AA$27</f>
        <v>0</v>
      </c>
      <c r="AB79" s="13">
        <f ca="1">$I$27*$AB$27</f>
        <v>0</v>
      </c>
      <c r="AC79" s="13">
        <f ca="1">$I$27*$AC$27</f>
        <v>0</v>
      </c>
      <c r="AD79" s="13">
        <f>$I$27*$AD$27</f>
        <v>0</v>
      </c>
      <c r="AE79" s="13">
        <f>$I$27*$AE$27</f>
        <v>0</v>
      </c>
      <c r="AF79" s="13">
        <f ca="1">$I$27*$AF$27</f>
        <v>0</v>
      </c>
      <c r="AG79" s="13">
        <f ca="1">$I$27*$AG$27</f>
        <v>0</v>
      </c>
      <c r="AI79" s="13">
        <f>$I$27*$AI$27</f>
        <v>0</v>
      </c>
      <c r="AJ79" s="13">
        <f>$I$27*$AJ$27</f>
        <v>0</v>
      </c>
      <c r="AK79" s="13">
        <f>$I$27*$AK$27</f>
        <v>0</v>
      </c>
      <c r="AL79" s="13">
        <f>$I$27*$AL$27</f>
        <v>0</v>
      </c>
      <c r="AM79" s="13">
        <f>$I$27*$AM$27</f>
        <v>0</v>
      </c>
      <c r="AN79" s="13">
        <f>$I$27*$AN$27</f>
        <v>0</v>
      </c>
      <c r="AO79" s="13">
        <f>$I$27*$AO$27</f>
        <v>0</v>
      </c>
      <c r="AP79" s="13">
        <f>$I$27*$AP$27</f>
        <v>0</v>
      </c>
      <c r="AQ79" s="13">
        <f>$I$27*$AQ$27</f>
        <v>0</v>
      </c>
      <c r="AR79" s="13">
        <f>$I$27*$AR$27</f>
        <v>0</v>
      </c>
      <c r="AS79" s="13">
        <f>$I$27*$AS$27</f>
        <v>0</v>
      </c>
      <c r="AT79" s="13">
        <f>$I$27*$AT$27</f>
        <v>0</v>
      </c>
      <c r="AU79" s="13">
        <f>$I$27*$AU$27</f>
        <v>0</v>
      </c>
      <c r="AV79" s="13">
        <f>$I$27*$AV$27</f>
        <v>0</v>
      </c>
      <c r="AW79" s="13">
        <f>$I$27*$AW$27</f>
        <v>0</v>
      </c>
      <c r="AX79" s="13">
        <f>$I$27*$AX$27</f>
        <v>0</v>
      </c>
      <c r="AY79" s="13">
        <f>$I$27*$AY$27</f>
        <v>0</v>
      </c>
      <c r="AZ79" s="13">
        <f>$I$27*$AZ$27</f>
        <v>0</v>
      </c>
      <c r="BA79" s="13">
        <f>$I$27*$BA$27</f>
        <v>0</v>
      </c>
      <c r="BB79" s="13">
        <f>$I$27*$BB$27</f>
        <v>0</v>
      </c>
      <c r="BC79" s="13">
        <f>$I$27*$BC$27</f>
        <v>0</v>
      </c>
      <c r="BD79" s="13">
        <f>$I$27*$BD$27</f>
        <v>0</v>
      </c>
    </row>
    <row r="80" spans="1:56" ht="11.25" customHeight="1" x14ac:dyDescent="0.25">
      <c r="A80" s="9" t="s">
        <v>22</v>
      </c>
      <c r="B80" s="9" t="s">
        <v>763</v>
      </c>
      <c r="C80" s="9" t="s">
        <v>764</v>
      </c>
      <c r="D80" s="9" t="s">
        <v>777</v>
      </c>
      <c r="E80" s="9" t="s">
        <v>778</v>
      </c>
      <c r="F80" s="9" t="s">
        <v>779</v>
      </c>
      <c r="G80" s="9" t="s">
        <v>780</v>
      </c>
      <c r="L80" s="13">
        <f>$I$28*$L$28</f>
        <v>0</v>
      </c>
      <c r="M80" s="13">
        <f>$I$28*$M$28</f>
        <v>0</v>
      </c>
      <c r="N80" s="13">
        <f ca="1">$I$28*$N$28</f>
        <v>0</v>
      </c>
      <c r="O80" s="13">
        <f>$I$28*$O$28</f>
        <v>0</v>
      </c>
      <c r="P80" s="13">
        <f>$I$28*$P$28</f>
        <v>0</v>
      </c>
      <c r="Q80" s="13">
        <f>$I$28*$Q$28</f>
        <v>0</v>
      </c>
      <c r="R80" s="13">
        <f>$I$28*$R$28</f>
        <v>0</v>
      </c>
      <c r="S80" s="13">
        <f>$I$28*$S$28</f>
        <v>0</v>
      </c>
      <c r="T80" s="13">
        <f>$I$28*$T$28</f>
        <v>0</v>
      </c>
      <c r="U80" s="13">
        <f>$I$28*$U$28</f>
        <v>0</v>
      </c>
      <c r="V80" s="13">
        <f>$I$28*$V$28</f>
        <v>0</v>
      </c>
      <c r="W80" s="13">
        <f>$I$28*$W$28</f>
        <v>0</v>
      </c>
      <c r="X80" s="13">
        <f>$I$28*$X$28</f>
        <v>0</v>
      </c>
      <c r="Y80" s="13">
        <f>$I$28*$Y$28</f>
        <v>0</v>
      </c>
      <c r="Z80" s="13">
        <f>$I$28*$Z$28</f>
        <v>0</v>
      </c>
      <c r="AA80" s="13">
        <f>$I$28*$AA$28</f>
        <v>0</v>
      </c>
      <c r="AB80" s="13">
        <f ca="1">$I$28*$AB$28</f>
        <v>0</v>
      </c>
      <c r="AC80" s="13">
        <f ca="1">$I$28*$AC$28</f>
        <v>0</v>
      </c>
      <c r="AD80" s="13">
        <f>$I$28*$AD$28</f>
        <v>0</v>
      </c>
      <c r="AE80" s="13">
        <f>$I$28*$AE$28</f>
        <v>0</v>
      </c>
      <c r="AF80" s="13">
        <f ca="1">$I$28*$AF$28</f>
        <v>0</v>
      </c>
      <c r="AG80" s="13">
        <f ca="1">$I$28*$AG$28</f>
        <v>0</v>
      </c>
      <c r="AI80" s="13">
        <f>$I$28*$AI$28</f>
        <v>0</v>
      </c>
      <c r="AJ80" s="13">
        <f>$I$28*$AJ$28</f>
        <v>0</v>
      </c>
      <c r="AK80" s="13">
        <f>$I$28*$AK$28</f>
        <v>0</v>
      </c>
      <c r="AL80" s="13">
        <f>$I$28*$AL$28</f>
        <v>0</v>
      </c>
      <c r="AM80" s="13">
        <f>$I$28*$AM$28</f>
        <v>0</v>
      </c>
      <c r="AN80" s="13">
        <f>$I$28*$AN$28</f>
        <v>0</v>
      </c>
      <c r="AO80" s="13">
        <f>$I$28*$AO$28</f>
        <v>0</v>
      </c>
      <c r="AP80" s="13">
        <f>$I$28*$AP$28</f>
        <v>0</v>
      </c>
      <c r="AQ80" s="13">
        <f>$I$28*$AQ$28</f>
        <v>0</v>
      </c>
      <c r="AR80" s="13">
        <f>$I$28*$AR$28</f>
        <v>0</v>
      </c>
      <c r="AS80" s="13">
        <f>$I$28*$AS$28</f>
        <v>0</v>
      </c>
      <c r="AT80" s="13">
        <f>$I$28*$AT$28</f>
        <v>0</v>
      </c>
      <c r="AU80" s="13">
        <f>$I$28*$AU$28</f>
        <v>0</v>
      </c>
      <c r="AV80" s="13">
        <f>$I$28*$AV$28</f>
        <v>0</v>
      </c>
      <c r="AW80" s="13">
        <f>$I$28*$AW$28</f>
        <v>0</v>
      </c>
      <c r="AX80" s="13">
        <f>$I$28*$AX$28</f>
        <v>0</v>
      </c>
      <c r="AY80" s="13">
        <f>$I$28*$AY$28</f>
        <v>0</v>
      </c>
      <c r="AZ80" s="13">
        <f>$I$28*$AZ$28</f>
        <v>0</v>
      </c>
      <c r="BA80" s="13">
        <f>$I$28*$BA$28</f>
        <v>0</v>
      </c>
      <c r="BB80" s="13">
        <f>$I$28*$BB$28</f>
        <v>0</v>
      </c>
      <c r="BC80" s="13">
        <f>$I$28*$BC$28</f>
        <v>0</v>
      </c>
      <c r="BD80" s="13">
        <f>$I$28*$BD$28</f>
        <v>0</v>
      </c>
    </row>
    <row r="81" spans="1:56" ht="11.25" customHeight="1" x14ac:dyDescent="0.25">
      <c r="A81" s="9" t="s">
        <v>22</v>
      </c>
      <c r="B81" s="9" t="s">
        <v>763</v>
      </c>
      <c r="C81" s="9" t="s">
        <v>764</v>
      </c>
      <c r="D81" s="9" t="s">
        <v>781</v>
      </c>
      <c r="E81" s="9" t="s">
        <v>782</v>
      </c>
      <c r="F81" s="9" t="s">
        <v>783</v>
      </c>
      <c r="G81" s="9" t="s">
        <v>784</v>
      </c>
      <c r="L81" s="13">
        <f>$I$29*$L$29</f>
        <v>0</v>
      </c>
      <c r="M81" s="13">
        <f>$I$29*$M$29</f>
        <v>0</v>
      </c>
      <c r="N81" s="13">
        <f ca="1">$I$29*$N$29</f>
        <v>0</v>
      </c>
      <c r="O81" s="13">
        <f>$I$29*$O$29</f>
        <v>0</v>
      </c>
      <c r="P81" s="13">
        <f>$I$29*$P$29</f>
        <v>0</v>
      </c>
      <c r="Q81" s="13">
        <f>$I$29*$Q$29</f>
        <v>0</v>
      </c>
      <c r="R81" s="13">
        <f>$I$29*$R$29</f>
        <v>0</v>
      </c>
      <c r="S81" s="13">
        <f>$I$29*$S$29</f>
        <v>0</v>
      </c>
      <c r="T81" s="13">
        <f>$I$29*$T$29</f>
        <v>0</v>
      </c>
      <c r="U81" s="13">
        <f>$I$29*$U$29</f>
        <v>0</v>
      </c>
      <c r="V81" s="13">
        <f>$I$29*$V$29</f>
        <v>0</v>
      </c>
      <c r="W81" s="13">
        <f>$I$29*$W$29</f>
        <v>0</v>
      </c>
      <c r="X81" s="13">
        <f>$I$29*$X$29</f>
        <v>0</v>
      </c>
      <c r="Y81" s="13">
        <f>$I$29*$Y$29</f>
        <v>0</v>
      </c>
      <c r="Z81" s="13">
        <f>$I$29*$Z$29</f>
        <v>0</v>
      </c>
      <c r="AA81" s="13">
        <f>$I$29*$AA$29</f>
        <v>0</v>
      </c>
      <c r="AB81" s="13">
        <f ca="1">$I$29*$AB$29</f>
        <v>0</v>
      </c>
      <c r="AC81" s="13">
        <f ca="1">$I$29*$AC$29</f>
        <v>0</v>
      </c>
      <c r="AD81" s="13">
        <f>$I$29*$AD$29</f>
        <v>0</v>
      </c>
      <c r="AE81" s="13">
        <f>$I$29*$AE$29</f>
        <v>0</v>
      </c>
      <c r="AF81" s="13">
        <f ca="1">$I$29*$AF$29</f>
        <v>0</v>
      </c>
      <c r="AG81" s="13">
        <f ca="1">$I$29*$AG$29</f>
        <v>0</v>
      </c>
      <c r="AI81" s="13">
        <f>$I$29*$AI$29</f>
        <v>0</v>
      </c>
      <c r="AJ81" s="13">
        <f>$I$29*$AJ$29</f>
        <v>0</v>
      </c>
      <c r="AK81" s="13">
        <f>$I$29*$AK$29</f>
        <v>0</v>
      </c>
      <c r="AL81" s="13">
        <f>$I$29*$AL$29</f>
        <v>0</v>
      </c>
      <c r="AM81" s="13">
        <f>$I$29*$AM$29</f>
        <v>0</v>
      </c>
      <c r="AN81" s="13">
        <f>$I$29*$AN$29</f>
        <v>0</v>
      </c>
      <c r="AO81" s="13">
        <f>$I$29*$AO$29</f>
        <v>0</v>
      </c>
      <c r="AP81" s="13">
        <f>$I$29*$AP$29</f>
        <v>0</v>
      </c>
      <c r="AQ81" s="13">
        <f>$I$29*$AQ$29</f>
        <v>0</v>
      </c>
      <c r="AR81" s="13">
        <f>$I$29*$AR$29</f>
        <v>0</v>
      </c>
      <c r="AS81" s="13">
        <f>$I$29*$AS$29</f>
        <v>0</v>
      </c>
      <c r="AT81" s="13">
        <f>$I$29*$AT$29</f>
        <v>0</v>
      </c>
      <c r="AU81" s="13">
        <f>$I$29*$AU$29</f>
        <v>0</v>
      </c>
      <c r="AV81" s="13">
        <f>$I$29*$AV$29</f>
        <v>0</v>
      </c>
      <c r="AW81" s="13">
        <f>$I$29*$AW$29</f>
        <v>0</v>
      </c>
      <c r="AX81" s="13">
        <f>$I$29*$AX$29</f>
        <v>0</v>
      </c>
      <c r="AY81" s="13">
        <f>$I$29*$AY$29</f>
        <v>0</v>
      </c>
      <c r="AZ81" s="13">
        <f>$I$29*$AZ$29</f>
        <v>0</v>
      </c>
      <c r="BA81" s="13">
        <f>$I$29*$BA$29</f>
        <v>0</v>
      </c>
      <c r="BB81" s="13">
        <f>$I$29*$BB$29</f>
        <v>0</v>
      </c>
      <c r="BC81" s="13">
        <f>$I$29*$BC$29</f>
        <v>0</v>
      </c>
      <c r="BD81" s="13">
        <f>$I$29*$BD$29</f>
        <v>0</v>
      </c>
    </row>
    <row r="82" spans="1:56" ht="11.25" customHeight="1" x14ac:dyDescent="0.25">
      <c r="A82" s="9" t="s">
        <v>41</v>
      </c>
      <c r="B82" s="9" t="s">
        <v>785</v>
      </c>
      <c r="C82" s="9" t="s">
        <v>786</v>
      </c>
      <c r="D82" s="9" t="s">
        <v>787</v>
      </c>
      <c r="E82" s="9" t="s">
        <v>788</v>
      </c>
      <c r="F82" s="9" t="s">
        <v>789</v>
      </c>
      <c r="G82" s="9" t="s">
        <v>790</v>
      </c>
      <c r="L82" s="13">
        <f>$I$30*$L$30</f>
        <v>0</v>
      </c>
      <c r="M82" s="13">
        <f>$I$30*$M$30</f>
        <v>0</v>
      </c>
      <c r="N82" s="13">
        <f ca="1">$I$30*$N$30</f>
        <v>0</v>
      </c>
      <c r="O82" s="13">
        <f>$I$30*$O$30</f>
        <v>0</v>
      </c>
      <c r="P82" s="13">
        <f>$I$30*$P$30</f>
        <v>0</v>
      </c>
      <c r="Q82" s="13">
        <f>$I$30*$Q$30</f>
        <v>0</v>
      </c>
      <c r="R82" s="13">
        <f>$I$30*$R$30</f>
        <v>0</v>
      </c>
      <c r="S82" s="13">
        <f>$I$30*$S$30</f>
        <v>0</v>
      </c>
      <c r="T82" s="13">
        <f>$I$30*$T$30</f>
        <v>0</v>
      </c>
      <c r="U82" s="13">
        <f>$I$30*$U$30</f>
        <v>0</v>
      </c>
      <c r="V82" s="13">
        <f>$I$30*$V$30</f>
        <v>0</v>
      </c>
      <c r="W82" s="13">
        <f>$I$30*$W$30</f>
        <v>0</v>
      </c>
      <c r="X82" s="13">
        <f>$I$30*$X$30</f>
        <v>0</v>
      </c>
      <c r="Y82" s="13">
        <f>$I$30*$Y$30</f>
        <v>0</v>
      </c>
      <c r="Z82" s="13">
        <f>$I$30*$Z$30</f>
        <v>0</v>
      </c>
      <c r="AA82" s="13">
        <f>$I$30*$AA$30</f>
        <v>0</v>
      </c>
      <c r="AB82" s="13">
        <f ca="1">$I$30*$AB$30</f>
        <v>0</v>
      </c>
      <c r="AC82" s="13">
        <f ca="1">$I$30*$AC$30</f>
        <v>0</v>
      </c>
      <c r="AD82" s="13">
        <f>$I$30*$AD$30</f>
        <v>0</v>
      </c>
      <c r="AE82" s="13">
        <f>$I$30*$AE$30</f>
        <v>0</v>
      </c>
      <c r="AF82" s="13">
        <f ca="1">$I$30*$AF$30</f>
        <v>0</v>
      </c>
      <c r="AG82" s="13">
        <f ca="1">$I$30*$AG$30</f>
        <v>0</v>
      </c>
      <c r="AI82" s="13">
        <f>$I$30*$AI$30</f>
        <v>0</v>
      </c>
      <c r="AJ82" s="13">
        <f>$I$30*$AJ$30</f>
        <v>0</v>
      </c>
      <c r="AK82" s="13">
        <f>$I$30*$AK$30</f>
        <v>0</v>
      </c>
      <c r="AL82" s="13">
        <f>$I$30*$AL$30</f>
        <v>0</v>
      </c>
      <c r="AM82" s="13">
        <f>$I$30*$AM$30</f>
        <v>0</v>
      </c>
      <c r="AN82" s="13">
        <f>$I$30*$AN$30</f>
        <v>0</v>
      </c>
      <c r="AO82" s="13">
        <f>$I$30*$AO$30</f>
        <v>0</v>
      </c>
      <c r="AP82" s="13">
        <f>$I$30*$AP$30</f>
        <v>0</v>
      </c>
      <c r="AQ82" s="13">
        <f>$I$30*$AQ$30</f>
        <v>0</v>
      </c>
      <c r="AR82" s="13">
        <f>$I$30*$AR$30</f>
        <v>0</v>
      </c>
      <c r="AS82" s="13">
        <f>$I$30*$AS$30</f>
        <v>0</v>
      </c>
      <c r="AT82" s="13">
        <f>$I$30*$AT$30</f>
        <v>0</v>
      </c>
      <c r="AU82" s="13">
        <f>$I$30*$AU$30</f>
        <v>0</v>
      </c>
      <c r="AV82" s="13">
        <f>$I$30*$AV$30</f>
        <v>0</v>
      </c>
      <c r="AW82" s="13">
        <f>$I$30*$AW$30</f>
        <v>0</v>
      </c>
      <c r="AX82" s="13">
        <f>$I$30*$AX$30</f>
        <v>0</v>
      </c>
      <c r="AY82" s="13">
        <f>$I$30*$AY$30</f>
        <v>0</v>
      </c>
      <c r="AZ82" s="13">
        <f>$I$30*$AZ$30</f>
        <v>0</v>
      </c>
      <c r="BA82" s="13">
        <f>$I$30*$BA$30</f>
        <v>0</v>
      </c>
      <c r="BB82" s="13">
        <f>$I$30*$BB$30</f>
        <v>0</v>
      </c>
      <c r="BC82" s="13">
        <f>$I$30*$BC$30</f>
        <v>0</v>
      </c>
      <c r="BD82" s="13">
        <f>$I$30*$BD$30</f>
        <v>0</v>
      </c>
    </row>
    <row r="83" spans="1:56" ht="11.25" customHeight="1" x14ac:dyDescent="0.25">
      <c r="A83" s="9" t="s">
        <v>41</v>
      </c>
      <c r="B83" s="9" t="s">
        <v>785</v>
      </c>
      <c r="C83" s="9" t="s">
        <v>786</v>
      </c>
      <c r="D83" s="9" t="s">
        <v>787</v>
      </c>
      <c r="E83" s="9" t="s">
        <v>788</v>
      </c>
      <c r="F83" s="9" t="s">
        <v>789</v>
      </c>
      <c r="G83" s="9" t="s">
        <v>791</v>
      </c>
      <c r="L83" s="13">
        <f>$I$31*$L$31</f>
        <v>0</v>
      </c>
      <c r="M83" s="13">
        <f>$I$31*$M$31</f>
        <v>0</v>
      </c>
      <c r="N83" s="13">
        <f ca="1">$I$31*$N$31</f>
        <v>0</v>
      </c>
      <c r="O83" s="13">
        <f>$I$31*$O$31</f>
        <v>0</v>
      </c>
      <c r="P83" s="13">
        <f>$I$31*$P$31</f>
        <v>0</v>
      </c>
      <c r="Q83" s="13">
        <f>$I$31*$Q$31</f>
        <v>0</v>
      </c>
      <c r="R83" s="13">
        <f>$I$31*$R$31</f>
        <v>0</v>
      </c>
      <c r="S83" s="13">
        <f>$I$31*$S$31</f>
        <v>0</v>
      </c>
      <c r="T83" s="13">
        <f>$I$31*$T$31</f>
        <v>0</v>
      </c>
      <c r="U83" s="13">
        <f>$I$31*$U$31</f>
        <v>0</v>
      </c>
      <c r="V83" s="13">
        <f>$I$31*$V$31</f>
        <v>0</v>
      </c>
      <c r="W83" s="13">
        <f>$I$31*$W$31</f>
        <v>0</v>
      </c>
      <c r="X83" s="13">
        <f>$I$31*$X$31</f>
        <v>0</v>
      </c>
      <c r="Y83" s="13">
        <f>$I$31*$Y$31</f>
        <v>0</v>
      </c>
      <c r="Z83" s="13">
        <f>$I$31*$Z$31</f>
        <v>0</v>
      </c>
      <c r="AA83" s="13">
        <f>$I$31*$AA$31</f>
        <v>0</v>
      </c>
      <c r="AB83" s="13">
        <f ca="1">$I$31*$AB$31</f>
        <v>0</v>
      </c>
      <c r="AC83" s="13">
        <f ca="1">$I$31*$AC$31</f>
        <v>0</v>
      </c>
      <c r="AD83" s="13">
        <f>$I$31*$AD$31</f>
        <v>0</v>
      </c>
      <c r="AE83" s="13">
        <f>$I$31*$AE$31</f>
        <v>0</v>
      </c>
      <c r="AF83" s="13">
        <f ca="1">$I$31*$AF$31</f>
        <v>0</v>
      </c>
      <c r="AG83" s="13">
        <f ca="1">$I$31*$AG$31</f>
        <v>0</v>
      </c>
      <c r="AI83" s="13">
        <f>$I$31*$AI$31</f>
        <v>0</v>
      </c>
      <c r="AJ83" s="13">
        <f>$I$31*$AJ$31</f>
        <v>0</v>
      </c>
      <c r="AK83" s="13">
        <f>$I$31*$AK$31</f>
        <v>0</v>
      </c>
      <c r="AL83" s="13">
        <f>$I$31*$AL$31</f>
        <v>0</v>
      </c>
      <c r="AM83" s="13">
        <f>$I$31*$AM$31</f>
        <v>0</v>
      </c>
      <c r="AN83" s="13">
        <f>$I$31*$AN$31</f>
        <v>0</v>
      </c>
      <c r="AO83" s="13">
        <f>$I$31*$AO$31</f>
        <v>0</v>
      </c>
      <c r="AP83" s="13">
        <f>$I$31*$AP$31</f>
        <v>0</v>
      </c>
      <c r="AQ83" s="13">
        <f>$I$31*$AQ$31</f>
        <v>0</v>
      </c>
      <c r="AR83" s="13">
        <f>$I$31*$AR$31</f>
        <v>0</v>
      </c>
      <c r="AS83" s="13">
        <f>$I$31*$AS$31</f>
        <v>0</v>
      </c>
      <c r="AT83" s="13">
        <f>$I$31*$AT$31</f>
        <v>0</v>
      </c>
      <c r="AU83" s="13">
        <f>$I$31*$AU$31</f>
        <v>0</v>
      </c>
      <c r="AV83" s="13">
        <f>$I$31*$AV$31</f>
        <v>0</v>
      </c>
      <c r="AW83" s="13">
        <f>$I$31*$AW$31</f>
        <v>0</v>
      </c>
      <c r="AX83" s="13">
        <f>$I$31*$AX$31</f>
        <v>0</v>
      </c>
      <c r="AY83" s="13">
        <f>$I$31*$AY$31</f>
        <v>0</v>
      </c>
      <c r="AZ83" s="13">
        <f>$I$31*$AZ$31</f>
        <v>0</v>
      </c>
      <c r="BA83" s="13">
        <f>$I$31*$BA$31</f>
        <v>0</v>
      </c>
      <c r="BB83" s="13">
        <f>$I$31*$BB$31</f>
        <v>0</v>
      </c>
      <c r="BC83" s="13">
        <f>$I$31*$BC$31</f>
        <v>0</v>
      </c>
      <c r="BD83" s="13">
        <f>$I$31*$BD$31</f>
        <v>0</v>
      </c>
    </row>
    <row r="84" spans="1:56" ht="11.25" customHeight="1" x14ac:dyDescent="0.25">
      <c r="A84" s="9" t="s">
        <v>41</v>
      </c>
      <c r="B84" s="9" t="s">
        <v>785</v>
      </c>
      <c r="C84" s="9" t="s">
        <v>786</v>
      </c>
      <c r="D84" s="9" t="s">
        <v>787</v>
      </c>
      <c r="E84" s="9" t="s">
        <v>788</v>
      </c>
      <c r="F84" s="9" t="s">
        <v>789</v>
      </c>
      <c r="G84" s="9" t="s">
        <v>792</v>
      </c>
      <c r="L84" s="13">
        <f>$I$32*$L$32</f>
        <v>0</v>
      </c>
      <c r="M84" s="13">
        <f>$I$32*$M$32</f>
        <v>0</v>
      </c>
      <c r="N84" s="13">
        <f ca="1">$I$32*$N$32</f>
        <v>0</v>
      </c>
      <c r="O84" s="13">
        <f>$I$32*$O$32</f>
        <v>0</v>
      </c>
      <c r="P84" s="13">
        <f>$I$32*$P$32</f>
        <v>0</v>
      </c>
      <c r="Q84" s="13">
        <f>$I$32*$Q$32</f>
        <v>0</v>
      </c>
      <c r="R84" s="13">
        <f>$I$32*$R$32</f>
        <v>0</v>
      </c>
      <c r="S84" s="13">
        <f>$I$32*$S$32</f>
        <v>0</v>
      </c>
      <c r="T84" s="13">
        <f>$I$32*$T$32</f>
        <v>0</v>
      </c>
      <c r="U84" s="13">
        <f>$I$32*$U$32</f>
        <v>0</v>
      </c>
      <c r="V84" s="13">
        <f>$I$32*$V$32</f>
        <v>0</v>
      </c>
      <c r="W84" s="13">
        <f>$I$32*$W$32</f>
        <v>0</v>
      </c>
      <c r="X84" s="13">
        <f>$I$32*$X$32</f>
        <v>0</v>
      </c>
      <c r="Y84" s="13">
        <f>$I$32*$Y$32</f>
        <v>0</v>
      </c>
      <c r="Z84" s="13">
        <f>$I$32*$Z$32</f>
        <v>0</v>
      </c>
      <c r="AA84" s="13">
        <f>$I$32*$AA$32</f>
        <v>0</v>
      </c>
      <c r="AB84" s="13">
        <f ca="1">$I$32*$AB$32</f>
        <v>0</v>
      </c>
      <c r="AC84" s="13">
        <f ca="1">$I$32*$AC$32</f>
        <v>0</v>
      </c>
      <c r="AD84" s="13">
        <f>$I$32*$AD$32</f>
        <v>0</v>
      </c>
      <c r="AE84" s="13">
        <f>$I$32*$AE$32</f>
        <v>0</v>
      </c>
      <c r="AF84" s="13">
        <f ca="1">$I$32*$AF$32</f>
        <v>0</v>
      </c>
      <c r="AG84" s="13">
        <f ca="1">$I$32*$AG$32</f>
        <v>0</v>
      </c>
      <c r="AI84" s="13">
        <f>$I$32*$AI$32</f>
        <v>0</v>
      </c>
      <c r="AJ84" s="13">
        <f>$I$32*$AJ$32</f>
        <v>0</v>
      </c>
      <c r="AK84" s="13">
        <f>$I$32*$AK$32</f>
        <v>0</v>
      </c>
      <c r="AL84" s="13">
        <f>$I$32*$AL$32</f>
        <v>0</v>
      </c>
      <c r="AM84" s="13">
        <f>$I$32*$AM$32</f>
        <v>0</v>
      </c>
      <c r="AN84" s="13">
        <f>$I$32*$AN$32</f>
        <v>0</v>
      </c>
      <c r="AO84" s="13">
        <f>$I$32*$AO$32</f>
        <v>0</v>
      </c>
      <c r="AP84" s="13">
        <f>$I$32*$AP$32</f>
        <v>0</v>
      </c>
      <c r="AQ84" s="13">
        <f>$I$32*$AQ$32</f>
        <v>0</v>
      </c>
      <c r="AR84" s="13">
        <f>$I$32*$AR$32</f>
        <v>0</v>
      </c>
      <c r="AS84" s="13">
        <f>$I$32*$AS$32</f>
        <v>0</v>
      </c>
      <c r="AT84" s="13">
        <f>$I$32*$AT$32</f>
        <v>0</v>
      </c>
      <c r="AU84" s="13">
        <f>$I$32*$AU$32</f>
        <v>0</v>
      </c>
      <c r="AV84" s="13">
        <f>$I$32*$AV$32</f>
        <v>0</v>
      </c>
      <c r="AW84" s="13">
        <f>$I$32*$AW$32</f>
        <v>0</v>
      </c>
      <c r="AX84" s="13">
        <f>$I$32*$AX$32</f>
        <v>0</v>
      </c>
      <c r="AY84" s="13">
        <f>$I$32*$AY$32</f>
        <v>0</v>
      </c>
      <c r="AZ84" s="13">
        <f>$I$32*$AZ$32</f>
        <v>0</v>
      </c>
      <c r="BA84" s="13">
        <f>$I$32*$BA$32</f>
        <v>0</v>
      </c>
      <c r="BB84" s="13">
        <f>$I$32*$BB$32</f>
        <v>0</v>
      </c>
      <c r="BC84" s="13">
        <f>$I$32*$BC$32</f>
        <v>0</v>
      </c>
      <c r="BD84" s="13">
        <f>$I$32*$BD$32</f>
        <v>0</v>
      </c>
    </row>
    <row r="85" spans="1:56" ht="11.25" customHeight="1" x14ac:dyDescent="0.25">
      <c r="A85" s="9" t="s">
        <v>41</v>
      </c>
      <c r="B85" s="9" t="s">
        <v>793</v>
      </c>
      <c r="C85" s="9" t="s">
        <v>794</v>
      </c>
      <c r="D85" s="9" t="s">
        <v>795</v>
      </c>
      <c r="E85" s="9" t="s">
        <v>796</v>
      </c>
      <c r="F85" s="9" t="s">
        <v>797</v>
      </c>
      <c r="G85" s="9" t="s">
        <v>798</v>
      </c>
      <c r="L85" s="13">
        <f>$I$33*$L$33</f>
        <v>0</v>
      </c>
      <c r="M85" s="13">
        <f>$I$33*$M$33</f>
        <v>1790.1693021907383</v>
      </c>
      <c r="N85" s="13">
        <f ca="1">$I$33*$N$33</f>
        <v>0</v>
      </c>
      <c r="O85" s="13">
        <f>$I$33*$O$33</f>
        <v>0</v>
      </c>
      <c r="P85" s="13">
        <f>$I$33*$P$33</f>
        <v>0</v>
      </c>
      <c r="Q85" s="13">
        <f>$I$33*$Q$33</f>
        <v>59269.858366579181</v>
      </c>
      <c r="R85" s="13">
        <f>$I$33*$R$33</f>
        <v>9335.4208729799775</v>
      </c>
      <c r="S85" s="13">
        <f>$I$33*$S$33</f>
        <v>0</v>
      </c>
      <c r="T85" s="13">
        <f>$I$33*$T$33</f>
        <v>0</v>
      </c>
      <c r="U85" s="13">
        <f>$I$33*$U$33</f>
        <v>0</v>
      </c>
      <c r="V85" s="13">
        <f>$I$33*$V$33</f>
        <v>0</v>
      </c>
      <c r="W85" s="13">
        <f>$I$33*$W$33</f>
        <v>0</v>
      </c>
      <c r="X85" s="13">
        <f>$I$33*$X$33</f>
        <v>88490.781331906139</v>
      </c>
      <c r="Y85" s="13">
        <f>$I$33*$Y$33</f>
        <v>0</v>
      </c>
      <c r="Z85" s="13">
        <f>$I$33*$Z$33</f>
        <v>0</v>
      </c>
      <c r="AA85" s="13">
        <f>$I$33*$AA$33</f>
        <v>258379.78478094633</v>
      </c>
      <c r="AB85" s="13">
        <f ca="1">$I$33*$AB$33</f>
        <v>-7752.9041702525001</v>
      </c>
      <c r="AC85" s="13">
        <f ca="1">$I$33*$AC$33</f>
        <v>0</v>
      </c>
      <c r="AD85" s="13">
        <f>$I$33*$AD$33</f>
        <v>15481.525313372447</v>
      </c>
      <c r="AE85" s="13">
        <f>$I$33*$AE$33</f>
        <v>0</v>
      </c>
      <c r="AF85" s="13">
        <f ca="1">$I$33*$AF$33</f>
        <v>0</v>
      </c>
      <c r="AG85" s="13">
        <f ca="1">$I$33*$AG$33</f>
        <v>0</v>
      </c>
      <c r="AI85" s="13">
        <f>$I$33*$AI$33</f>
        <v>0</v>
      </c>
      <c r="AJ85" s="13">
        <f>$I$33*$AJ$33</f>
        <v>1328.8012463599675</v>
      </c>
      <c r="AK85" s="13">
        <f>$I$33*$AK$33</f>
        <v>0</v>
      </c>
      <c r="AL85" s="13">
        <f>$I$33*$AL$33</f>
        <v>0</v>
      </c>
      <c r="AM85" s="13">
        <f>$I$33*$AM$33</f>
        <v>0</v>
      </c>
      <c r="AN85" s="13">
        <f>$I$33*$AN$33</f>
        <v>35437.910532198155</v>
      </c>
      <c r="AO85" s="13">
        <f>$I$33*$AO$33</f>
        <v>5501.1964970048712</v>
      </c>
      <c r="AP85" s="13">
        <f>$I$33*$AP$33</f>
        <v>0</v>
      </c>
      <c r="AQ85" s="13">
        <f>$I$33*$AQ$33</f>
        <v>0</v>
      </c>
      <c r="AR85" s="13">
        <f>$I$33*$AR$33</f>
        <v>0</v>
      </c>
      <c r="AS85" s="13">
        <f>$I$33*$AS$33</f>
        <v>0</v>
      </c>
      <c r="AT85" s="13">
        <f>$I$33*$AT$33</f>
        <v>0</v>
      </c>
      <c r="AU85" s="13">
        <f>$I$33*$AU$33</f>
        <v>61516.961208589404</v>
      </c>
      <c r="AV85" s="13">
        <f>$I$33*$AV$33</f>
        <v>0</v>
      </c>
      <c r="AW85" s="13">
        <f>$I$33*$AW$33</f>
        <v>0</v>
      </c>
      <c r="AX85" s="13">
        <f>$I$33*$AX$33</f>
        <v>208350.07056686585</v>
      </c>
      <c r="AY85" s="13">
        <f>$I$33*$AY$33</f>
        <v>0</v>
      </c>
      <c r="AZ85" s="13">
        <f>$I$33*$AZ$33</f>
        <v>0</v>
      </c>
      <c r="BA85" s="13">
        <f>$I$33*$BA$33</f>
        <v>18494.594038858537</v>
      </c>
      <c r="BB85" s="13">
        <f>$I$33*$BB$33</f>
        <v>0</v>
      </c>
      <c r="BC85" s="13">
        <f>$I$33*$BC$33</f>
        <v>0</v>
      </c>
      <c r="BD85" s="13">
        <f>$I$33*$BD$33</f>
        <v>0</v>
      </c>
    </row>
    <row r="86" spans="1:56" ht="11.25" customHeight="1" x14ac:dyDescent="0.25">
      <c r="A86" s="9" t="s">
        <v>41</v>
      </c>
      <c r="B86" s="9" t="s">
        <v>785</v>
      </c>
      <c r="C86" s="9" t="s">
        <v>786</v>
      </c>
      <c r="D86" s="9" t="s">
        <v>799</v>
      </c>
      <c r="E86" s="9" t="s">
        <v>800</v>
      </c>
      <c r="F86" s="9" t="s">
        <v>801</v>
      </c>
      <c r="G86" s="9" t="s">
        <v>802</v>
      </c>
      <c r="L86" s="13">
        <f>$I$34*$L$34</f>
        <v>0</v>
      </c>
      <c r="M86" s="13">
        <f>$I$34*$M$34</f>
        <v>0</v>
      </c>
      <c r="N86" s="13">
        <f ca="1">$I$34*$N$34</f>
        <v>0</v>
      </c>
      <c r="O86" s="13">
        <f>$I$34*$O$34</f>
        <v>0</v>
      </c>
      <c r="P86" s="13">
        <f>$I$34*$P$34</f>
        <v>0</v>
      </c>
      <c r="Q86" s="13">
        <f>$I$34*$Q$34</f>
        <v>0</v>
      </c>
      <c r="R86" s="13">
        <f>$I$34*$R$34</f>
        <v>0</v>
      </c>
      <c r="S86" s="13">
        <f>$I$34*$S$34</f>
        <v>0</v>
      </c>
      <c r="T86" s="13">
        <f>$I$34*$T$34</f>
        <v>0</v>
      </c>
      <c r="U86" s="13">
        <f>$I$34*$U$34</f>
        <v>0</v>
      </c>
      <c r="V86" s="13">
        <f>$I$34*$V$34</f>
        <v>0</v>
      </c>
      <c r="W86" s="13">
        <f>$I$34*$W$34</f>
        <v>0</v>
      </c>
      <c r="X86" s="13">
        <f>$I$34*$X$34</f>
        <v>0</v>
      </c>
      <c r="Y86" s="13">
        <f>$I$34*$Y$34</f>
        <v>0</v>
      </c>
      <c r="Z86" s="13">
        <f>$I$34*$Z$34</f>
        <v>0</v>
      </c>
      <c r="AA86" s="13">
        <f>$I$34*$AA$34</f>
        <v>0</v>
      </c>
      <c r="AB86" s="13">
        <f ca="1">$I$34*$AB$34</f>
        <v>0</v>
      </c>
      <c r="AC86" s="13">
        <f ca="1">$I$34*$AC$34</f>
        <v>0</v>
      </c>
      <c r="AD86" s="13">
        <f>$I$34*$AD$34</f>
        <v>0</v>
      </c>
      <c r="AE86" s="13">
        <f>$I$34*$AE$34</f>
        <v>0</v>
      </c>
      <c r="AF86" s="13">
        <f ca="1">$I$34*$AF$34</f>
        <v>0</v>
      </c>
      <c r="AG86" s="13">
        <f ca="1">$I$34*$AG$34</f>
        <v>0</v>
      </c>
      <c r="AI86" s="13">
        <f>$I$34*$AI$34</f>
        <v>0</v>
      </c>
      <c r="AJ86" s="13">
        <f>$I$34*$AJ$34</f>
        <v>0</v>
      </c>
      <c r="AK86" s="13">
        <f>$I$34*$AK$34</f>
        <v>0</v>
      </c>
      <c r="AL86" s="13">
        <f>$I$34*$AL$34</f>
        <v>0</v>
      </c>
      <c r="AM86" s="13">
        <f>$I$34*$AM$34</f>
        <v>0</v>
      </c>
      <c r="AN86" s="13">
        <f>$I$34*$AN$34</f>
        <v>0</v>
      </c>
      <c r="AO86" s="13">
        <f>$I$34*$AO$34</f>
        <v>0</v>
      </c>
      <c r="AP86" s="13">
        <f>$I$34*$AP$34</f>
        <v>0</v>
      </c>
      <c r="AQ86" s="13">
        <f>$I$34*$AQ$34</f>
        <v>0</v>
      </c>
      <c r="AR86" s="13">
        <f>$I$34*$AR$34</f>
        <v>0</v>
      </c>
      <c r="AS86" s="13">
        <f>$I$34*$AS$34</f>
        <v>0</v>
      </c>
      <c r="AT86" s="13">
        <f>$I$34*$AT$34</f>
        <v>0</v>
      </c>
      <c r="AU86" s="13">
        <f>$I$34*$AU$34</f>
        <v>0</v>
      </c>
      <c r="AV86" s="13">
        <f>$I$34*$AV$34</f>
        <v>0</v>
      </c>
      <c r="AW86" s="13">
        <f>$I$34*$AW$34</f>
        <v>0</v>
      </c>
      <c r="AX86" s="13">
        <f>$I$34*$AX$34</f>
        <v>0</v>
      </c>
      <c r="AY86" s="13">
        <f>$I$34*$AY$34</f>
        <v>0</v>
      </c>
      <c r="AZ86" s="13">
        <f>$I$34*$AZ$34</f>
        <v>0</v>
      </c>
      <c r="BA86" s="13">
        <f>$I$34*$BA$34</f>
        <v>0</v>
      </c>
      <c r="BB86" s="13">
        <f>$I$34*$BB$34</f>
        <v>0</v>
      </c>
      <c r="BC86" s="13">
        <f>$I$34*$BC$34</f>
        <v>0</v>
      </c>
      <c r="BD86" s="13">
        <f>$I$34*$BD$34</f>
        <v>0</v>
      </c>
    </row>
    <row r="87" spans="1:56" ht="11.25" customHeight="1" x14ac:dyDescent="0.25">
      <c r="A87" s="9" t="s">
        <v>41</v>
      </c>
      <c r="B87" s="9" t="s">
        <v>785</v>
      </c>
      <c r="C87" s="9" t="s">
        <v>786</v>
      </c>
      <c r="D87" s="9" t="s">
        <v>799</v>
      </c>
      <c r="E87" s="9" t="s">
        <v>800</v>
      </c>
      <c r="F87" s="9" t="s">
        <v>801</v>
      </c>
      <c r="G87" s="9" t="s">
        <v>803</v>
      </c>
      <c r="L87" s="13">
        <f>$I$35*$L$35</f>
        <v>0</v>
      </c>
      <c r="M87" s="13">
        <f>$I$35*$M$35</f>
        <v>0</v>
      </c>
      <c r="N87" s="13">
        <f ca="1">$I$35*$N$35</f>
        <v>0</v>
      </c>
      <c r="O87" s="13">
        <f>$I$35*$O$35</f>
        <v>0</v>
      </c>
      <c r="P87" s="13">
        <f>$I$35*$P$35</f>
        <v>0</v>
      </c>
      <c r="Q87" s="13">
        <f>$I$35*$Q$35</f>
        <v>0</v>
      </c>
      <c r="R87" s="13">
        <f>$I$35*$R$35</f>
        <v>0</v>
      </c>
      <c r="S87" s="13">
        <f>$I$35*$S$35</f>
        <v>0</v>
      </c>
      <c r="T87" s="13">
        <f>$I$35*$T$35</f>
        <v>0</v>
      </c>
      <c r="U87" s="13">
        <f>$I$35*$U$35</f>
        <v>0</v>
      </c>
      <c r="V87" s="13">
        <f>$I$35*$V$35</f>
        <v>0</v>
      </c>
      <c r="W87" s="13">
        <f>$I$35*$W$35</f>
        <v>0</v>
      </c>
      <c r="X87" s="13">
        <f>$I$35*$X$35</f>
        <v>0</v>
      </c>
      <c r="Y87" s="13">
        <f>$I$35*$Y$35</f>
        <v>0</v>
      </c>
      <c r="Z87" s="13">
        <f>$I$35*$Z$35</f>
        <v>0</v>
      </c>
      <c r="AA87" s="13">
        <f>$I$35*$AA$35</f>
        <v>0</v>
      </c>
      <c r="AB87" s="13">
        <f ca="1">$I$35*$AB$35</f>
        <v>0</v>
      </c>
      <c r="AC87" s="13">
        <f ca="1">$I$35*$AC$35</f>
        <v>0</v>
      </c>
      <c r="AD87" s="13">
        <f>$I$35*$AD$35</f>
        <v>0</v>
      </c>
      <c r="AE87" s="13">
        <f>$I$35*$AE$35</f>
        <v>0</v>
      </c>
      <c r="AF87" s="13">
        <f ca="1">$I$35*$AF$35</f>
        <v>0</v>
      </c>
      <c r="AG87" s="13">
        <f ca="1">$I$35*$AG$35</f>
        <v>0</v>
      </c>
      <c r="AI87" s="13">
        <f>$I$35*$AI$35</f>
        <v>0</v>
      </c>
      <c r="AJ87" s="13">
        <f>$I$35*$AJ$35</f>
        <v>0</v>
      </c>
      <c r="AK87" s="13">
        <f>$I$35*$AK$35</f>
        <v>0</v>
      </c>
      <c r="AL87" s="13">
        <f>$I$35*$AL$35</f>
        <v>0</v>
      </c>
      <c r="AM87" s="13">
        <f>$I$35*$AM$35</f>
        <v>0</v>
      </c>
      <c r="AN87" s="13">
        <f>$I$35*$AN$35</f>
        <v>0</v>
      </c>
      <c r="AO87" s="13">
        <f>$I$35*$AO$35</f>
        <v>0</v>
      </c>
      <c r="AP87" s="13">
        <f>$I$35*$AP$35</f>
        <v>0</v>
      </c>
      <c r="AQ87" s="13">
        <f>$I$35*$AQ$35</f>
        <v>0</v>
      </c>
      <c r="AR87" s="13">
        <f>$I$35*$AR$35</f>
        <v>0</v>
      </c>
      <c r="AS87" s="13">
        <f>$I$35*$AS$35</f>
        <v>0</v>
      </c>
      <c r="AT87" s="13">
        <f>$I$35*$AT$35</f>
        <v>0</v>
      </c>
      <c r="AU87" s="13">
        <f>$I$35*$AU$35</f>
        <v>0</v>
      </c>
      <c r="AV87" s="13">
        <f>$I$35*$AV$35</f>
        <v>0</v>
      </c>
      <c r="AW87" s="13">
        <f>$I$35*$AW$35</f>
        <v>0</v>
      </c>
      <c r="AX87" s="13">
        <f>$I$35*$AX$35</f>
        <v>0</v>
      </c>
      <c r="AY87" s="13">
        <f>$I$35*$AY$35</f>
        <v>0</v>
      </c>
      <c r="AZ87" s="13">
        <f>$I$35*$AZ$35</f>
        <v>0</v>
      </c>
      <c r="BA87" s="13">
        <f>$I$35*$BA$35</f>
        <v>0</v>
      </c>
      <c r="BB87" s="13">
        <f>$I$35*$BB$35</f>
        <v>0</v>
      </c>
      <c r="BC87" s="13">
        <f>$I$35*$BC$35</f>
        <v>0</v>
      </c>
      <c r="BD87" s="13">
        <f>$I$35*$BD$35</f>
        <v>0</v>
      </c>
    </row>
    <row r="88" spans="1:56" ht="11.25" customHeight="1" x14ac:dyDescent="0.25">
      <c r="A88" s="9" t="s">
        <v>41</v>
      </c>
      <c r="B88" s="9" t="s">
        <v>785</v>
      </c>
      <c r="C88" s="9" t="s">
        <v>786</v>
      </c>
      <c r="D88" s="9" t="s">
        <v>799</v>
      </c>
      <c r="E88" s="9" t="s">
        <v>800</v>
      </c>
      <c r="F88" s="9" t="s">
        <v>801</v>
      </c>
      <c r="G88" s="9" t="s">
        <v>804</v>
      </c>
      <c r="L88" s="13">
        <f>$I$36*$L$36</f>
        <v>0</v>
      </c>
      <c r="M88" s="13">
        <f>$I$36*$M$36</f>
        <v>0</v>
      </c>
      <c r="N88" s="13">
        <f ca="1">$I$36*$N$36</f>
        <v>0</v>
      </c>
      <c r="O88" s="13">
        <f>$I$36*$O$36</f>
        <v>0</v>
      </c>
      <c r="P88" s="13">
        <f>$I$36*$P$36</f>
        <v>0</v>
      </c>
      <c r="Q88" s="13">
        <f>$I$36*$Q$36</f>
        <v>0</v>
      </c>
      <c r="R88" s="13">
        <f>$I$36*$R$36</f>
        <v>0</v>
      </c>
      <c r="S88" s="13">
        <f>$I$36*$S$36</f>
        <v>0</v>
      </c>
      <c r="T88" s="13">
        <f>$I$36*$T$36</f>
        <v>0</v>
      </c>
      <c r="U88" s="13">
        <f>$I$36*$U$36</f>
        <v>0</v>
      </c>
      <c r="V88" s="13">
        <f>$I$36*$V$36</f>
        <v>0</v>
      </c>
      <c r="W88" s="13">
        <f>$I$36*$W$36</f>
        <v>0</v>
      </c>
      <c r="X88" s="13">
        <f>$I$36*$X$36</f>
        <v>0</v>
      </c>
      <c r="Y88" s="13">
        <f>$I$36*$Y$36</f>
        <v>0</v>
      </c>
      <c r="Z88" s="13">
        <f>$I$36*$Z$36</f>
        <v>0</v>
      </c>
      <c r="AA88" s="13">
        <f>$I$36*$AA$36</f>
        <v>0</v>
      </c>
      <c r="AB88" s="13">
        <f ca="1">$I$36*$AB$36</f>
        <v>0</v>
      </c>
      <c r="AC88" s="13">
        <f ca="1">$I$36*$AC$36</f>
        <v>0</v>
      </c>
      <c r="AD88" s="13">
        <f>$I$36*$AD$36</f>
        <v>0</v>
      </c>
      <c r="AE88" s="13">
        <f>$I$36*$AE$36</f>
        <v>0</v>
      </c>
      <c r="AF88" s="13">
        <f ca="1">$I$36*$AF$36</f>
        <v>0</v>
      </c>
      <c r="AG88" s="13">
        <f ca="1">$I$36*$AG$36</f>
        <v>0</v>
      </c>
      <c r="AI88" s="13">
        <f>$I$36*$AI$36</f>
        <v>0</v>
      </c>
      <c r="AJ88" s="13">
        <f>$I$36*$AJ$36</f>
        <v>0</v>
      </c>
      <c r="AK88" s="13">
        <f>$I$36*$AK$36</f>
        <v>0</v>
      </c>
      <c r="AL88" s="13">
        <f>$I$36*$AL$36</f>
        <v>0</v>
      </c>
      <c r="AM88" s="13">
        <f>$I$36*$AM$36</f>
        <v>0</v>
      </c>
      <c r="AN88" s="13">
        <f>$I$36*$AN$36</f>
        <v>0</v>
      </c>
      <c r="AO88" s="13">
        <f>$I$36*$AO$36</f>
        <v>0</v>
      </c>
      <c r="AP88" s="13">
        <f>$I$36*$AP$36</f>
        <v>0</v>
      </c>
      <c r="AQ88" s="13">
        <f>$I$36*$AQ$36</f>
        <v>0</v>
      </c>
      <c r="AR88" s="13">
        <f>$I$36*$AR$36</f>
        <v>0</v>
      </c>
      <c r="AS88" s="13">
        <f>$I$36*$AS$36</f>
        <v>0</v>
      </c>
      <c r="AT88" s="13">
        <f>$I$36*$AT$36</f>
        <v>0</v>
      </c>
      <c r="AU88" s="13">
        <f>$I$36*$AU$36</f>
        <v>0</v>
      </c>
      <c r="AV88" s="13">
        <f>$I$36*$AV$36</f>
        <v>0</v>
      </c>
      <c r="AW88" s="13">
        <f>$I$36*$AW$36</f>
        <v>0</v>
      </c>
      <c r="AX88" s="13">
        <f>$I$36*$AX$36</f>
        <v>0</v>
      </c>
      <c r="AY88" s="13">
        <f>$I$36*$AY$36</f>
        <v>0</v>
      </c>
      <c r="AZ88" s="13">
        <f>$I$36*$AZ$36</f>
        <v>0</v>
      </c>
      <c r="BA88" s="13">
        <f>$I$36*$BA$36</f>
        <v>0</v>
      </c>
      <c r="BB88" s="13">
        <f>$I$36*$BB$36</f>
        <v>0</v>
      </c>
      <c r="BC88" s="13">
        <f>$I$36*$BC$36</f>
        <v>0</v>
      </c>
      <c r="BD88" s="13">
        <f>$I$36*$BD$36</f>
        <v>0</v>
      </c>
    </row>
    <row r="89" spans="1:56" ht="11.25" customHeight="1" x14ac:dyDescent="0.25">
      <c r="A89" s="9" t="s">
        <v>41</v>
      </c>
      <c r="B89" s="9" t="s">
        <v>793</v>
      </c>
      <c r="C89" s="9" t="s">
        <v>794</v>
      </c>
      <c r="D89" s="9" t="s">
        <v>805</v>
      </c>
      <c r="E89" s="9" t="s">
        <v>806</v>
      </c>
      <c r="F89" s="9" t="s">
        <v>807</v>
      </c>
      <c r="G89" s="9" t="s">
        <v>808</v>
      </c>
      <c r="L89" s="13">
        <f>$I$37*$L$37</f>
        <v>0</v>
      </c>
      <c r="M89" s="13">
        <f>$I$37*$M$37</f>
        <v>0</v>
      </c>
      <c r="N89" s="13">
        <f ca="1">$I$37*$N$37</f>
        <v>0</v>
      </c>
      <c r="O89" s="13">
        <f>$I$37*$O$37</f>
        <v>0</v>
      </c>
      <c r="P89" s="13">
        <f>$I$37*$P$37</f>
        <v>0</v>
      </c>
      <c r="Q89" s="13">
        <f>$I$37*$Q$37</f>
        <v>0</v>
      </c>
      <c r="R89" s="13">
        <f>$I$37*$R$37</f>
        <v>0</v>
      </c>
      <c r="S89" s="13">
        <f>$I$37*$S$37</f>
        <v>0</v>
      </c>
      <c r="T89" s="13">
        <f>$I$37*$T$37</f>
        <v>0</v>
      </c>
      <c r="U89" s="13">
        <f>$I$37*$U$37</f>
        <v>0</v>
      </c>
      <c r="V89" s="13">
        <f>$I$37*$V$37</f>
        <v>0</v>
      </c>
      <c r="W89" s="13">
        <f>$I$37*$W$37</f>
        <v>0</v>
      </c>
      <c r="X89" s="13">
        <f>$I$37*$X$37</f>
        <v>0</v>
      </c>
      <c r="Y89" s="13">
        <f>$I$37*$Y$37</f>
        <v>0</v>
      </c>
      <c r="Z89" s="13">
        <f>$I$37*$Z$37</f>
        <v>0</v>
      </c>
      <c r="AA89" s="13">
        <f>$I$37*$AA$37</f>
        <v>0</v>
      </c>
      <c r="AB89" s="13">
        <f ca="1">$I$37*$AB$37</f>
        <v>0</v>
      </c>
      <c r="AC89" s="13">
        <f ca="1">$I$37*$AC$37</f>
        <v>0</v>
      </c>
      <c r="AD89" s="13">
        <f>$I$37*$AD$37</f>
        <v>0</v>
      </c>
      <c r="AE89" s="13">
        <f>$I$37*$AE$37</f>
        <v>0</v>
      </c>
      <c r="AF89" s="13">
        <f ca="1">$I$37*$AF$37</f>
        <v>0</v>
      </c>
      <c r="AG89" s="13">
        <f ca="1">$I$37*$AG$37</f>
        <v>0</v>
      </c>
      <c r="AI89" s="13">
        <f>$I$37*$AI$37</f>
        <v>0</v>
      </c>
      <c r="AJ89" s="13">
        <f>$I$37*$AJ$37</f>
        <v>0</v>
      </c>
      <c r="AK89" s="13">
        <f>$I$37*$AK$37</f>
        <v>0</v>
      </c>
      <c r="AL89" s="13">
        <f>$I$37*$AL$37</f>
        <v>0</v>
      </c>
      <c r="AM89" s="13">
        <f>$I$37*$AM$37</f>
        <v>0</v>
      </c>
      <c r="AN89" s="13">
        <f>$I$37*$AN$37</f>
        <v>0</v>
      </c>
      <c r="AO89" s="13">
        <f>$I$37*$AO$37</f>
        <v>0</v>
      </c>
      <c r="AP89" s="13">
        <f>$I$37*$AP$37</f>
        <v>0</v>
      </c>
      <c r="AQ89" s="13">
        <f>$I$37*$AQ$37</f>
        <v>0</v>
      </c>
      <c r="AR89" s="13">
        <f>$I$37*$AR$37</f>
        <v>0</v>
      </c>
      <c r="AS89" s="13">
        <f>$I$37*$AS$37</f>
        <v>0</v>
      </c>
      <c r="AT89" s="13">
        <f>$I$37*$AT$37</f>
        <v>0</v>
      </c>
      <c r="AU89" s="13">
        <f>$I$37*$AU$37</f>
        <v>0</v>
      </c>
      <c r="AV89" s="13">
        <f>$I$37*$AV$37</f>
        <v>0</v>
      </c>
      <c r="AW89" s="13">
        <f>$I$37*$AW$37</f>
        <v>0</v>
      </c>
      <c r="AX89" s="13">
        <f>$I$37*$AX$37</f>
        <v>0</v>
      </c>
      <c r="AY89" s="13">
        <f>$I$37*$AY$37</f>
        <v>0</v>
      </c>
      <c r="AZ89" s="13">
        <f>$I$37*$AZ$37</f>
        <v>0</v>
      </c>
      <c r="BA89" s="13">
        <f>$I$37*$BA$37</f>
        <v>0</v>
      </c>
      <c r="BB89" s="13">
        <f>$I$37*$BB$37</f>
        <v>0</v>
      </c>
      <c r="BC89" s="13">
        <f>$I$37*$BC$37</f>
        <v>0</v>
      </c>
      <c r="BD89" s="13">
        <f>$I$37*$BD$37</f>
        <v>0</v>
      </c>
    </row>
    <row r="90" spans="1:56" ht="11.25" customHeight="1" x14ac:dyDescent="0.25">
      <c r="A90" s="9" t="s">
        <v>41</v>
      </c>
      <c r="B90" s="9" t="s">
        <v>785</v>
      </c>
      <c r="C90" s="9" t="s">
        <v>786</v>
      </c>
      <c r="D90" s="9" t="s">
        <v>809</v>
      </c>
      <c r="E90" s="9" t="s">
        <v>810</v>
      </c>
      <c r="F90" s="9" t="s">
        <v>811</v>
      </c>
      <c r="G90" s="9" t="s">
        <v>812</v>
      </c>
      <c r="L90" s="13">
        <f>$I$38*$L$38</f>
        <v>0</v>
      </c>
      <c r="M90" s="13">
        <f>$I$38*$M$38</f>
        <v>0</v>
      </c>
      <c r="N90" s="13">
        <f ca="1">$I$38*$N$38</f>
        <v>0</v>
      </c>
      <c r="O90" s="13">
        <f>$I$38*$O$38</f>
        <v>0</v>
      </c>
      <c r="P90" s="13">
        <f>$I$38*$P$38</f>
        <v>0</v>
      </c>
      <c r="Q90" s="13">
        <f>$I$38*$Q$38</f>
        <v>0</v>
      </c>
      <c r="R90" s="13">
        <f>$I$38*$R$38</f>
        <v>0</v>
      </c>
      <c r="S90" s="13">
        <f>$I$38*$S$38</f>
        <v>0</v>
      </c>
      <c r="T90" s="13">
        <f>$I$38*$T$38</f>
        <v>0</v>
      </c>
      <c r="U90" s="13">
        <f>$I$38*$U$38</f>
        <v>0</v>
      </c>
      <c r="V90" s="13">
        <f>$I$38*$V$38</f>
        <v>0</v>
      </c>
      <c r="W90" s="13">
        <f>$I$38*$W$38</f>
        <v>0</v>
      </c>
      <c r="X90" s="13">
        <f>$I$38*$X$38</f>
        <v>0</v>
      </c>
      <c r="Y90" s="13">
        <f>$I$38*$Y$38</f>
        <v>0</v>
      </c>
      <c r="Z90" s="13">
        <f>$I$38*$Z$38</f>
        <v>0</v>
      </c>
      <c r="AA90" s="13">
        <f>$I$38*$AA$38</f>
        <v>0</v>
      </c>
      <c r="AB90" s="13">
        <f ca="1">$I$38*$AB$38</f>
        <v>0</v>
      </c>
      <c r="AC90" s="13">
        <f ca="1">$I$38*$AC$38</f>
        <v>0</v>
      </c>
      <c r="AD90" s="13">
        <f>$I$38*$AD$38</f>
        <v>0</v>
      </c>
      <c r="AE90" s="13">
        <f>$I$38*$AE$38</f>
        <v>0</v>
      </c>
      <c r="AF90" s="13">
        <f ca="1">$I$38*$AF$38</f>
        <v>0</v>
      </c>
      <c r="AG90" s="13">
        <f ca="1">$I$38*$AG$38</f>
        <v>0</v>
      </c>
      <c r="AI90" s="13">
        <f>$I$38*$AI$38</f>
        <v>0</v>
      </c>
      <c r="AJ90" s="13">
        <f>$I$38*$AJ$38</f>
        <v>0</v>
      </c>
      <c r="AK90" s="13">
        <f>$I$38*$AK$38</f>
        <v>0</v>
      </c>
      <c r="AL90" s="13">
        <f>$I$38*$AL$38</f>
        <v>0</v>
      </c>
      <c r="AM90" s="13">
        <f>$I$38*$AM$38</f>
        <v>0</v>
      </c>
      <c r="AN90" s="13">
        <f>$I$38*$AN$38</f>
        <v>0</v>
      </c>
      <c r="AO90" s="13">
        <f>$I$38*$AO$38</f>
        <v>0</v>
      </c>
      <c r="AP90" s="13">
        <f>$I$38*$AP$38</f>
        <v>0</v>
      </c>
      <c r="AQ90" s="13">
        <f>$I$38*$AQ$38</f>
        <v>0</v>
      </c>
      <c r="AR90" s="13">
        <f>$I$38*$AR$38</f>
        <v>0</v>
      </c>
      <c r="AS90" s="13">
        <f>$I$38*$AS$38</f>
        <v>0</v>
      </c>
      <c r="AT90" s="13">
        <f>$I$38*$AT$38</f>
        <v>0</v>
      </c>
      <c r="AU90" s="13">
        <f>$I$38*$AU$38</f>
        <v>0</v>
      </c>
      <c r="AV90" s="13">
        <f>$I$38*$AV$38</f>
        <v>0</v>
      </c>
      <c r="AW90" s="13">
        <f>$I$38*$AW$38</f>
        <v>0</v>
      </c>
      <c r="AX90" s="13">
        <f>$I$38*$AX$38</f>
        <v>0</v>
      </c>
      <c r="AY90" s="13">
        <f>$I$38*$AY$38</f>
        <v>0</v>
      </c>
      <c r="AZ90" s="13">
        <f>$I$38*$AZ$38</f>
        <v>0</v>
      </c>
      <c r="BA90" s="13">
        <f>$I$38*$BA$38</f>
        <v>0</v>
      </c>
      <c r="BB90" s="13">
        <f>$I$38*$BB$38</f>
        <v>0</v>
      </c>
      <c r="BC90" s="13">
        <f>$I$38*$BC$38</f>
        <v>0</v>
      </c>
      <c r="BD90" s="13">
        <f>$I$38*$BD$38</f>
        <v>0</v>
      </c>
    </row>
    <row r="91" spans="1:56" ht="11.25" customHeight="1" x14ac:dyDescent="0.25">
      <c r="A91" s="9" t="s">
        <v>41</v>
      </c>
      <c r="B91" s="9" t="s">
        <v>785</v>
      </c>
      <c r="C91" s="9" t="s">
        <v>786</v>
      </c>
      <c r="D91" s="9" t="s">
        <v>809</v>
      </c>
      <c r="E91" s="9" t="s">
        <v>810</v>
      </c>
      <c r="F91" s="9" t="s">
        <v>811</v>
      </c>
      <c r="G91" s="9" t="s">
        <v>813</v>
      </c>
      <c r="L91" s="13">
        <f>$I$39*$L$39</f>
        <v>0</v>
      </c>
      <c r="M91" s="13">
        <f>$I$39*$M$39</f>
        <v>0</v>
      </c>
      <c r="N91" s="13">
        <f ca="1">$I$39*$N$39</f>
        <v>0</v>
      </c>
      <c r="O91" s="13">
        <f>$I$39*$O$39</f>
        <v>0</v>
      </c>
      <c r="P91" s="13">
        <f>$I$39*$P$39</f>
        <v>0</v>
      </c>
      <c r="Q91" s="13">
        <f>$I$39*$Q$39</f>
        <v>0</v>
      </c>
      <c r="R91" s="13">
        <f>$I$39*$R$39</f>
        <v>0</v>
      </c>
      <c r="S91" s="13">
        <f>$I$39*$S$39</f>
        <v>0</v>
      </c>
      <c r="T91" s="13">
        <f>$I$39*$T$39</f>
        <v>0</v>
      </c>
      <c r="U91" s="13">
        <f>$I$39*$U$39</f>
        <v>0</v>
      </c>
      <c r="V91" s="13">
        <f>$I$39*$V$39</f>
        <v>0</v>
      </c>
      <c r="W91" s="13">
        <f>$I$39*$W$39</f>
        <v>0</v>
      </c>
      <c r="X91" s="13">
        <f>$I$39*$X$39</f>
        <v>0</v>
      </c>
      <c r="Y91" s="13">
        <f>$I$39*$Y$39</f>
        <v>0</v>
      </c>
      <c r="Z91" s="13">
        <f>$I$39*$Z$39</f>
        <v>0</v>
      </c>
      <c r="AA91" s="13">
        <f>$I$39*$AA$39</f>
        <v>0</v>
      </c>
      <c r="AB91" s="13">
        <f ca="1">$I$39*$AB$39</f>
        <v>0</v>
      </c>
      <c r="AC91" s="13">
        <f ca="1">$I$39*$AC$39</f>
        <v>0</v>
      </c>
      <c r="AD91" s="13">
        <f>$I$39*$AD$39</f>
        <v>0</v>
      </c>
      <c r="AE91" s="13">
        <f>$I$39*$AE$39</f>
        <v>0</v>
      </c>
      <c r="AF91" s="13">
        <f ca="1">$I$39*$AF$39</f>
        <v>0</v>
      </c>
      <c r="AG91" s="13">
        <f ca="1">$I$39*$AG$39</f>
        <v>0</v>
      </c>
      <c r="AI91" s="13">
        <f>$I$39*$AI$39</f>
        <v>0</v>
      </c>
      <c r="AJ91" s="13">
        <f>$I$39*$AJ$39</f>
        <v>0</v>
      </c>
      <c r="AK91" s="13">
        <f>$I$39*$AK$39</f>
        <v>0</v>
      </c>
      <c r="AL91" s="13">
        <f>$I$39*$AL$39</f>
        <v>0</v>
      </c>
      <c r="AM91" s="13">
        <f>$I$39*$AM$39</f>
        <v>0</v>
      </c>
      <c r="AN91" s="13">
        <f>$I$39*$AN$39</f>
        <v>0</v>
      </c>
      <c r="AO91" s="13">
        <f>$I$39*$AO$39</f>
        <v>0</v>
      </c>
      <c r="AP91" s="13">
        <f>$I$39*$AP$39</f>
        <v>0</v>
      </c>
      <c r="AQ91" s="13">
        <f>$I$39*$AQ$39</f>
        <v>0</v>
      </c>
      <c r="AR91" s="13">
        <f>$I$39*$AR$39</f>
        <v>0</v>
      </c>
      <c r="AS91" s="13">
        <f>$I$39*$AS$39</f>
        <v>0</v>
      </c>
      <c r="AT91" s="13">
        <f>$I$39*$AT$39</f>
        <v>0</v>
      </c>
      <c r="AU91" s="13">
        <f>$I$39*$AU$39</f>
        <v>0</v>
      </c>
      <c r="AV91" s="13">
        <f>$I$39*$AV$39</f>
        <v>0</v>
      </c>
      <c r="AW91" s="13">
        <f>$I$39*$AW$39</f>
        <v>0</v>
      </c>
      <c r="AX91" s="13">
        <f>$I$39*$AX$39</f>
        <v>0</v>
      </c>
      <c r="AY91" s="13">
        <f>$I$39*$AY$39</f>
        <v>0</v>
      </c>
      <c r="AZ91" s="13">
        <f>$I$39*$AZ$39</f>
        <v>0</v>
      </c>
      <c r="BA91" s="13">
        <f>$I$39*$BA$39</f>
        <v>0</v>
      </c>
      <c r="BB91" s="13">
        <f>$I$39*$BB$39</f>
        <v>0</v>
      </c>
      <c r="BC91" s="13">
        <f>$I$39*$BC$39</f>
        <v>0</v>
      </c>
      <c r="BD91" s="13">
        <f>$I$39*$BD$39</f>
        <v>0</v>
      </c>
    </row>
    <row r="92" spans="1:56" ht="11.25" customHeight="1" x14ac:dyDescent="0.25">
      <c r="A92" s="9" t="s">
        <v>41</v>
      </c>
      <c r="B92" s="9" t="s">
        <v>785</v>
      </c>
      <c r="C92" s="9" t="s">
        <v>786</v>
      </c>
      <c r="D92" s="9" t="s">
        <v>809</v>
      </c>
      <c r="E92" s="9" t="s">
        <v>810</v>
      </c>
      <c r="F92" s="9" t="s">
        <v>811</v>
      </c>
      <c r="G92" s="9" t="s">
        <v>814</v>
      </c>
      <c r="L92" s="13">
        <f>$I$40*$L$40</f>
        <v>0</v>
      </c>
      <c r="M92" s="13">
        <f>$I$40*$M$40</f>
        <v>0</v>
      </c>
      <c r="N92" s="13">
        <f ca="1">$I$40*$N$40</f>
        <v>0</v>
      </c>
      <c r="O92" s="13">
        <f>$I$40*$O$40</f>
        <v>0</v>
      </c>
      <c r="P92" s="13">
        <f>$I$40*$P$40</f>
        <v>0</v>
      </c>
      <c r="Q92" s="13">
        <f>$I$40*$Q$40</f>
        <v>0</v>
      </c>
      <c r="R92" s="13">
        <f>$I$40*$R$40</f>
        <v>0</v>
      </c>
      <c r="S92" s="13">
        <f>$I$40*$S$40</f>
        <v>0</v>
      </c>
      <c r="T92" s="13">
        <f>$I$40*$T$40</f>
        <v>0</v>
      </c>
      <c r="U92" s="13">
        <f>$I$40*$U$40</f>
        <v>0</v>
      </c>
      <c r="V92" s="13">
        <f>$I$40*$V$40</f>
        <v>0</v>
      </c>
      <c r="W92" s="13">
        <f>$I$40*$W$40</f>
        <v>0</v>
      </c>
      <c r="X92" s="13">
        <f>$I$40*$X$40</f>
        <v>0</v>
      </c>
      <c r="Y92" s="13">
        <f>$I$40*$Y$40</f>
        <v>0</v>
      </c>
      <c r="Z92" s="13">
        <f>$I$40*$Z$40</f>
        <v>0</v>
      </c>
      <c r="AA92" s="13">
        <f>$I$40*$AA$40</f>
        <v>0</v>
      </c>
      <c r="AB92" s="13">
        <f ca="1">$I$40*$AB$40</f>
        <v>0</v>
      </c>
      <c r="AC92" s="13">
        <f ca="1">$I$40*$AC$40</f>
        <v>0</v>
      </c>
      <c r="AD92" s="13">
        <f>$I$40*$AD$40</f>
        <v>0</v>
      </c>
      <c r="AE92" s="13">
        <f>$I$40*$AE$40</f>
        <v>0</v>
      </c>
      <c r="AF92" s="13">
        <f ca="1">$I$40*$AF$40</f>
        <v>0</v>
      </c>
      <c r="AG92" s="13">
        <f ca="1">$I$40*$AG$40</f>
        <v>0</v>
      </c>
      <c r="AI92" s="13">
        <f>$I$40*$AI$40</f>
        <v>0</v>
      </c>
      <c r="AJ92" s="13">
        <f>$I$40*$AJ$40</f>
        <v>0</v>
      </c>
      <c r="AK92" s="13">
        <f>$I$40*$AK$40</f>
        <v>0</v>
      </c>
      <c r="AL92" s="13">
        <f>$I$40*$AL$40</f>
        <v>0</v>
      </c>
      <c r="AM92" s="13">
        <f>$I$40*$AM$40</f>
        <v>0</v>
      </c>
      <c r="AN92" s="13">
        <f>$I$40*$AN$40</f>
        <v>0</v>
      </c>
      <c r="AO92" s="13">
        <f>$I$40*$AO$40</f>
        <v>0</v>
      </c>
      <c r="AP92" s="13">
        <f>$I$40*$AP$40</f>
        <v>0</v>
      </c>
      <c r="AQ92" s="13">
        <f>$I$40*$AQ$40</f>
        <v>0</v>
      </c>
      <c r="AR92" s="13">
        <f>$I$40*$AR$40</f>
        <v>0</v>
      </c>
      <c r="AS92" s="13">
        <f>$I$40*$AS$40</f>
        <v>0</v>
      </c>
      <c r="AT92" s="13">
        <f>$I$40*$AT$40</f>
        <v>0</v>
      </c>
      <c r="AU92" s="13">
        <f>$I$40*$AU$40</f>
        <v>0</v>
      </c>
      <c r="AV92" s="13">
        <f>$I$40*$AV$40</f>
        <v>0</v>
      </c>
      <c r="AW92" s="13">
        <f>$I$40*$AW$40</f>
        <v>0</v>
      </c>
      <c r="AX92" s="13">
        <f>$I$40*$AX$40</f>
        <v>0</v>
      </c>
      <c r="AY92" s="13">
        <f>$I$40*$AY$40</f>
        <v>0</v>
      </c>
      <c r="AZ92" s="13">
        <f>$I$40*$AZ$40</f>
        <v>0</v>
      </c>
      <c r="BA92" s="13">
        <f>$I$40*$BA$40</f>
        <v>0</v>
      </c>
      <c r="BB92" s="13">
        <f>$I$40*$BB$40</f>
        <v>0</v>
      </c>
      <c r="BC92" s="13">
        <f>$I$40*$BC$40</f>
        <v>0</v>
      </c>
      <c r="BD92" s="13">
        <f>$I$40*$BD$40</f>
        <v>0</v>
      </c>
    </row>
    <row r="93" spans="1:56" ht="11.25" customHeight="1" x14ac:dyDescent="0.25">
      <c r="A93" s="9" t="s">
        <v>41</v>
      </c>
      <c r="B93" s="9" t="s">
        <v>793</v>
      </c>
      <c r="C93" s="9" t="s">
        <v>794</v>
      </c>
      <c r="D93" s="9" t="s">
        <v>815</v>
      </c>
      <c r="E93" s="9" t="s">
        <v>816</v>
      </c>
      <c r="F93" s="9" t="s">
        <v>817</v>
      </c>
      <c r="G93" s="9" t="s">
        <v>818</v>
      </c>
      <c r="L93" s="13">
        <f>$I$41*$L$41</f>
        <v>0</v>
      </c>
      <c r="M93" s="13">
        <f>$I$41*$M$41</f>
        <v>0</v>
      </c>
      <c r="N93" s="13">
        <f ca="1">$I$41*$N$41</f>
        <v>0</v>
      </c>
      <c r="O93" s="13">
        <f>$I$41*$O$41</f>
        <v>0</v>
      </c>
      <c r="P93" s="13">
        <f>$I$41*$P$41</f>
        <v>0</v>
      </c>
      <c r="Q93" s="13">
        <f>$I$41*$Q$41</f>
        <v>0</v>
      </c>
      <c r="R93" s="13">
        <f>$I$41*$R$41</f>
        <v>0</v>
      </c>
      <c r="S93" s="13">
        <f>$I$41*$S$41</f>
        <v>0</v>
      </c>
      <c r="T93" s="13">
        <f>$I$41*$T$41</f>
        <v>0</v>
      </c>
      <c r="U93" s="13">
        <f>$I$41*$U$41</f>
        <v>0</v>
      </c>
      <c r="V93" s="13">
        <f>$I$41*$V$41</f>
        <v>0</v>
      </c>
      <c r="W93" s="13">
        <f>$I$41*$W$41</f>
        <v>0</v>
      </c>
      <c r="X93" s="13">
        <f>$I$41*$X$41</f>
        <v>0</v>
      </c>
      <c r="Y93" s="13">
        <f>$I$41*$Y$41</f>
        <v>0</v>
      </c>
      <c r="Z93" s="13">
        <f>$I$41*$Z$41</f>
        <v>0</v>
      </c>
      <c r="AA93" s="13">
        <f>$I$41*$AA$41</f>
        <v>0</v>
      </c>
      <c r="AB93" s="13">
        <f ca="1">$I$41*$AB$41</f>
        <v>0</v>
      </c>
      <c r="AC93" s="13">
        <f ca="1">$I$41*$AC$41</f>
        <v>0</v>
      </c>
      <c r="AD93" s="13">
        <f>$I$41*$AD$41</f>
        <v>0</v>
      </c>
      <c r="AE93" s="13">
        <f>$I$41*$AE$41</f>
        <v>0</v>
      </c>
      <c r="AF93" s="13">
        <f ca="1">$I$41*$AF$41</f>
        <v>0</v>
      </c>
      <c r="AG93" s="13">
        <f ca="1">$I$41*$AG$41</f>
        <v>0</v>
      </c>
      <c r="AI93" s="13">
        <f>$I$41*$AI$41</f>
        <v>0</v>
      </c>
      <c r="AJ93" s="13">
        <f>$I$41*$AJ$41</f>
        <v>0</v>
      </c>
      <c r="AK93" s="13">
        <f>$I$41*$AK$41</f>
        <v>0</v>
      </c>
      <c r="AL93" s="13">
        <f>$I$41*$AL$41</f>
        <v>0</v>
      </c>
      <c r="AM93" s="13">
        <f>$I$41*$AM$41</f>
        <v>0</v>
      </c>
      <c r="AN93" s="13">
        <f>$I$41*$AN$41</f>
        <v>0</v>
      </c>
      <c r="AO93" s="13">
        <f>$I$41*$AO$41</f>
        <v>0</v>
      </c>
      <c r="AP93" s="13">
        <f>$I$41*$AP$41</f>
        <v>0</v>
      </c>
      <c r="AQ93" s="13">
        <f>$I$41*$AQ$41</f>
        <v>0</v>
      </c>
      <c r="AR93" s="13">
        <f>$I$41*$AR$41</f>
        <v>0</v>
      </c>
      <c r="AS93" s="13">
        <f>$I$41*$AS$41</f>
        <v>0</v>
      </c>
      <c r="AT93" s="13">
        <f>$I$41*$AT$41</f>
        <v>0</v>
      </c>
      <c r="AU93" s="13">
        <f>$I$41*$AU$41</f>
        <v>0</v>
      </c>
      <c r="AV93" s="13">
        <f>$I$41*$AV$41</f>
        <v>0</v>
      </c>
      <c r="AW93" s="13">
        <f>$I$41*$AW$41</f>
        <v>0</v>
      </c>
      <c r="AX93" s="13">
        <f>$I$41*$AX$41</f>
        <v>0</v>
      </c>
      <c r="AY93" s="13">
        <f>$I$41*$AY$41</f>
        <v>0</v>
      </c>
      <c r="AZ93" s="13">
        <f>$I$41*$AZ$41</f>
        <v>0</v>
      </c>
      <c r="BA93" s="13">
        <f>$I$41*$BA$41</f>
        <v>0</v>
      </c>
      <c r="BB93" s="13">
        <f>$I$41*$BB$41</f>
        <v>0</v>
      </c>
      <c r="BC93" s="13">
        <f>$I$41*$BC$41</f>
        <v>0</v>
      </c>
      <c r="BD93" s="13">
        <f>$I$41*$BD$41</f>
        <v>0</v>
      </c>
    </row>
    <row r="94" spans="1:56" ht="11.25" customHeight="1" x14ac:dyDescent="0.25">
      <c r="A94" s="9" t="s">
        <v>41</v>
      </c>
      <c r="B94" s="9" t="s">
        <v>819</v>
      </c>
      <c r="C94" s="9" t="s">
        <v>820</v>
      </c>
      <c r="D94" s="9" t="s">
        <v>821</v>
      </c>
      <c r="E94" s="9" t="s">
        <v>822</v>
      </c>
      <c r="F94" s="9" t="s">
        <v>823</v>
      </c>
      <c r="G94" s="9" t="s">
        <v>824</v>
      </c>
      <c r="L94" s="13">
        <f>$I$42*$L$42</f>
        <v>0</v>
      </c>
      <c r="M94" s="13">
        <f>$I$42*$M$42</f>
        <v>0</v>
      </c>
      <c r="N94" s="13">
        <f ca="1">$I$42*$N$42</f>
        <v>0</v>
      </c>
      <c r="O94" s="13">
        <f>$I$42*$O$42</f>
        <v>0</v>
      </c>
      <c r="P94" s="13">
        <f>$I$42*$P$42</f>
        <v>0</v>
      </c>
      <c r="Q94" s="13">
        <f>$I$42*$Q$42</f>
        <v>0</v>
      </c>
      <c r="R94" s="13">
        <f>$I$42*$R$42</f>
        <v>0</v>
      </c>
      <c r="S94" s="13">
        <f>$I$42*$S$42</f>
        <v>0</v>
      </c>
      <c r="T94" s="13">
        <f>$I$42*$T$42</f>
        <v>0</v>
      </c>
      <c r="U94" s="13">
        <f>$I$42*$U$42</f>
        <v>0</v>
      </c>
      <c r="V94" s="13">
        <f>$I$42*$V$42</f>
        <v>0</v>
      </c>
      <c r="W94" s="13">
        <f>$I$42*$W$42</f>
        <v>0</v>
      </c>
      <c r="X94" s="13">
        <f>$I$42*$X$42</f>
        <v>0</v>
      </c>
      <c r="Y94" s="13">
        <f>$I$42*$Y$42</f>
        <v>0</v>
      </c>
      <c r="Z94" s="13">
        <f>$I$42*$Z$42</f>
        <v>0</v>
      </c>
      <c r="AA94" s="13">
        <f>$I$42*$AA$42</f>
        <v>0</v>
      </c>
      <c r="AB94" s="13">
        <f ca="1">$I$42*$AB$42</f>
        <v>0</v>
      </c>
      <c r="AC94" s="13">
        <f ca="1">$I$42*$AC$42</f>
        <v>0</v>
      </c>
      <c r="AD94" s="13">
        <f>$I$42*$AD$42</f>
        <v>0</v>
      </c>
      <c r="AE94" s="13">
        <f>$I$42*$AE$42</f>
        <v>0</v>
      </c>
      <c r="AF94" s="13">
        <f ca="1">$I$42*$AF$42</f>
        <v>0</v>
      </c>
      <c r="AG94" s="13">
        <f ca="1">$I$42*$AG$42</f>
        <v>0</v>
      </c>
      <c r="AI94" s="13">
        <f>$I$42*$AI$42</f>
        <v>0</v>
      </c>
      <c r="AJ94" s="13">
        <f>$I$42*$AJ$42</f>
        <v>0</v>
      </c>
      <c r="AK94" s="13">
        <f>$I$42*$AK$42</f>
        <v>0</v>
      </c>
      <c r="AL94" s="13">
        <f>$I$42*$AL$42</f>
        <v>0</v>
      </c>
      <c r="AM94" s="13">
        <f>$I$42*$AM$42</f>
        <v>0</v>
      </c>
      <c r="AN94" s="13">
        <f>$I$42*$AN$42</f>
        <v>0</v>
      </c>
      <c r="AO94" s="13">
        <f>$I$42*$AO$42</f>
        <v>0</v>
      </c>
      <c r="AP94" s="13">
        <f>$I$42*$AP$42</f>
        <v>0</v>
      </c>
      <c r="AQ94" s="13">
        <f>$I$42*$AQ$42</f>
        <v>0</v>
      </c>
      <c r="AR94" s="13">
        <f>$I$42*$AR$42</f>
        <v>0</v>
      </c>
      <c r="AS94" s="13">
        <f>$I$42*$AS$42</f>
        <v>0</v>
      </c>
      <c r="AT94" s="13">
        <f>$I$42*$AT$42</f>
        <v>0</v>
      </c>
      <c r="AU94" s="13">
        <f>$I$42*$AU$42</f>
        <v>0</v>
      </c>
      <c r="AV94" s="13">
        <f>$I$42*$AV$42</f>
        <v>0</v>
      </c>
      <c r="AW94" s="13">
        <f>$I$42*$AW$42</f>
        <v>0</v>
      </c>
      <c r="AX94" s="13">
        <f>$I$42*$AX$42</f>
        <v>0</v>
      </c>
      <c r="AY94" s="13">
        <f>$I$42*$AY$42</f>
        <v>0</v>
      </c>
      <c r="AZ94" s="13">
        <f>$I$42*$AZ$42</f>
        <v>0</v>
      </c>
      <c r="BA94" s="13">
        <f>$I$42*$BA$42</f>
        <v>0</v>
      </c>
      <c r="BB94" s="13">
        <f>$I$42*$BB$42</f>
        <v>0</v>
      </c>
      <c r="BC94" s="13">
        <f>$I$42*$BC$42</f>
        <v>0</v>
      </c>
      <c r="BD94" s="13">
        <f>$I$42*$BD$42</f>
        <v>0</v>
      </c>
    </row>
    <row r="95" spans="1:56" ht="11.25" customHeight="1" x14ac:dyDescent="0.25">
      <c r="A95" s="9" t="s">
        <v>41</v>
      </c>
      <c r="B95" s="9" t="s">
        <v>819</v>
      </c>
      <c r="C95" s="9" t="s">
        <v>820</v>
      </c>
      <c r="D95" s="9" t="s">
        <v>825</v>
      </c>
      <c r="E95" s="9" t="s">
        <v>826</v>
      </c>
      <c r="F95" s="9" t="s">
        <v>827</v>
      </c>
      <c r="G95" s="9" t="s">
        <v>828</v>
      </c>
      <c r="L95" s="13">
        <f>$I$43*$L$43</f>
        <v>0</v>
      </c>
      <c r="M95" s="13">
        <f>$I$43*$M$43</f>
        <v>0</v>
      </c>
      <c r="N95" s="13">
        <f ca="1">$I$43*$N$43</f>
        <v>0</v>
      </c>
      <c r="O95" s="13">
        <f>$I$43*$O$43</f>
        <v>0</v>
      </c>
      <c r="P95" s="13">
        <f>$I$43*$P$43</f>
        <v>0</v>
      </c>
      <c r="Q95" s="13">
        <f>$I$43*$Q$43</f>
        <v>0</v>
      </c>
      <c r="R95" s="13">
        <f>$I$43*$R$43</f>
        <v>0</v>
      </c>
      <c r="S95" s="13">
        <f>$I$43*$S$43</f>
        <v>0</v>
      </c>
      <c r="T95" s="13">
        <f>$I$43*$T$43</f>
        <v>0</v>
      </c>
      <c r="U95" s="13">
        <f>$I$43*$U$43</f>
        <v>0</v>
      </c>
      <c r="V95" s="13">
        <f>$I$43*$V$43</f>
        <v>0</v>
      </c>
      <c r="W95" s="13">
        <f>$I$43*$W$43</f>
        <v>0</v>
      </c>
      <c r="X95" s="13">
        <f>$I$43*$X$43</f>
        <v>0</v>
      </c>
      <c r="Y95" s="13">
        <f>$I$43*$Y$43</f>
        <v>0</v>
      </c>
      <c r="Z95" s="13">
        <f>$I$43*$Z$43</f>
        <v>0</v>
      </c>
      <c r="AA95" s="13">
        <f>$I$43*$AA$43</f>
        <v>0</v>
      </c>
      <c r="AB95" s="13">
        <f ca="1">$I$43*$AB$43</f>
        <v>0</v>
      </c>
      <c r="AC95" s="13">
        <f ca="1">$I$43*$AC$43</f>
        <v>0</v>
      </c>
      <c r="AD95" s="13">
        <f>$I$43*$AD$43</f>
        <v>0</v>
      </c>
      <c r="AE95" s="13">
        <f>$I$43*$AE$43</f>
        <v>0</v>
      </c>
      <c r="AF95" s="13">
        <f ca="1">$I$43*$AF$43</f>
        <v>0</v>
      </c>
      <c r="AG95" s="13">
        <f ca="1">$I$43*$AG$43</f>
        <v>0</v>
      </c>
      <c r="AI95" s="13">
        <f>$I$43*$AI$43</f>
        <v>0</v>
      </c>
      <c r="AJ95" s="13">
        <f>$I$43*$AJ$43</f>
        <v>0</v>
      </c>
      <c r="AK95" s="13">
        <f>$I$43*$AK$43</f>
        <v>0</v>
      </c>
      <c r="AL95" s="13">
        <f>$I$43*$AL$43</f>
        <v>0</v>
      </c>
      <c r="AM95" s="13">
        <f>$I$43*$AM$43</f>
        <v>0</v>
      </c>
      <c r="AN95" s="13">
        <f>$I$43*$AN$43</f>
        <v>0</v>
      </c>
      <c r="AO95" s="13">
        <f>$I$43*$AO$43</f>
        <v>0</v>
      </c>
      <c r="AP95" s="13">
        <f>$I$43*$AP$43</f>
        <v>0</v>
      </c>
      <c r="AQ95" s="13">
        <f>$I$43*$AQ$43</f>
        <v>0</v>
      </c>
      <c r="AR95" s="13">
        <f>$I$43*$AR$43</f>
        <v>0</v>
      </c>
      <c r="AS95" s="13">
        <f>$I$43*$AS$43</f>
        <v>0</v>
      </c>
      <c r="AT95" s="13">
        <f>$I$43*$AT$43</f>
        <v>0</v>
      </c>
      <c r="AU95" s="13">
        <f>$I$43*$AU$43</f>
        <v>0</v>
      </c>
      <c r="AV95" s="13">
        <f>$I$43*$AV$43</f>
        <v>0</v>
      </c>
      <c r="AW95" s="13">
        <f>$I$43*$AW$43</f>
        <v>0</v>
      </c>
      <c r="AX95" s="13">
        <f>$I$43*$AX$43</f>
        <v>0</v>
      </c>
      <c r="AY95" s="13">
        <f>$I$43*$AY$43</f>
        <v>0</v>
      </c>
      <c r="AZ95" s="13">
        <f>$I$43*$AZ$43</f>
        <v>0</v>
      </c>
      <c r="BA95" s="13">
        <f>$I$43*$BA$43</f>
        <v>0</v>
      </c>
      <c r="BB95" s="13">
        <f>$I$43*$BB$43</f>
        <v>0</v>
      </c>
      <c r="BC95" s="13">
        <f>$I$43*$BC$43</f>
        <v>0</v>
      </c>
      <c r="BD95" s="13">
        <f>$I$43*$BD$43</f>
        <v>0</v>
      </c>
    </row>
    <row r="96" spans="1:56" ht="11.25" customHeight="1" x14ac:dyDescent="0.25">
      <c r="A96" s="9" t="s">
        <v>41</v>
      </c>
      <c r="B96" s="9" t="s">
        <v>819</v>
      </c>
      <c r="C96" s="9" t="s">
        <v>820</v>
      </c>
      <c r="D96" s="9" t="s">
        <v>829</v>
      </c>
      <c r="E96" s="9" t="s">
        <v>830</v>
      </c>
      <c r="F96" s="9" t="s">
        <v>831</v>
      </c>
      <c r="G96" s="9" t="s">
        <v>832</v>
      </c>
      <c r="L96" s="13">
        <f>$I$44*$L$44</f>
        <v>0</v>
      </c>
      <c r="M96" s="13">
        <f>$I$44*$M$44</f>
        <v>0</v>
      </c>
      <c r="N96" s="13">
        <f ca="1">$I$44*$N$44</f>
        <v>0</v>
      </c>
      <c r="O96" s="13">
        <f>$I$44*$O$44</f>
        <v>0</v>
      </c>
      <c r="P96" s="13">
        <f>$I$44*$P$44</f>
        <v>0</v>
      </c>
      <c r="Q96" s="13">
        <f>$I$44*$Q$44</f>
        <v>0</v>
      </c>
      <c r="R96" s="13">
        <f>$I$44*$R$44</f>
        <v>0</v>
      </c>
      <c r="S96" s="13">
        <f>$I$44*$S$44</f>
        <v>0</v>
      </c>
      <c r="T96" s="13">
        <f>$I$44*$T$44</f>
        <v>0</v>
      </c>
      <c r="U96" s="13">
        <f>$I$44*$U$44</f>
        <v>0</v>
      </c>
      <c r="V96" s="13">
        <f>$I$44*$V$44</f>
        <v>0</v>
      </c>
      <c r="W96" s="13">
        <f>$I$44*$W$44</f>
        <v>0</v>
      </c>
      <c r="X96" s="13">
        <f>$I$44*$X$44</f>
        <v>0</v>
      </c>
      <c r="Y96" s="13">
        <f>$I$44*$Y$44</f>
        <v>0</v>
      </c>
      <c r="Z96" s="13">
        <f>$I$44*$Z$44</f>
        <v>0</v>
      </c>
      <c r="AA96" s="13">
        <f>$I$44*$AA$44</f>
        <v>0</v>
      </c>
      <c r="AB96" s="13">
        <f ca="1">$I$44*$AB$44</f>
        <v>0</v>
      </c>
      <c r="AC96" s="13">
        <f ca="1">$I$44*$AC$44</f>
        <v>0</v>
      </c>
      <c r="AD96" s="13">
        <f>$I$44*$AD$44</f>
        <v>0</v>
      </c>
      <c r="AE96" s="13">
        <f>$I$44*$AE$44</f>
        <v>0</v>
      </c>
      <c r="AF96" s="13">
        <f ca="1">$I$44*$AF$44</f>
        <v>0</v>
      </c>
      <c r="AG96" s="13">
        <f ca="1">$I$44*$AG$44</f>
        <v>0</v>
      </c>
      <c r="AI96" s="13">
        <f>$I$44*$AI$44</f>
        <v>0</v>
      </c>
      <c r="AJ96" s="13">
        <f>$I$44*$AJ$44</f>
        <v>0</v>
      </c>
      <c r="AK96" s="13">
        <f>$I$44*$AK$44</f>
        <v>0</v>
      </c>
      <c r="AL96" s="13">
        <f>$I$44*$AL$44</f>
        <v>0</v>
      </c>
      <c r="AM96" s="13">
        <f>$I$44*$AM$44</f>
        <v>0</v>
      </c>
      <c r="AN96" s="13">
        <f>$I$44*$AN$44</f>
        <v>0</v>
      </c>
      <c r="AO96" s="13">
        <f>$I$44*$AO$44</f>
        <v>0</v>
      </c>
      <c r="AP96" s="13">
        <f>$I$44*$AP$44</f>
        <v>0</v>
      </c>
      <c r="AQ96" s="13">
        <f>$I$44*$AQ$44</f>
        <v>0</v>
      </c>
      <c r="AR96" s="13">
        <f>$I$44*$AR$44</f>
        <v>0</v>
      </c>
      <c r="AS96" s="13">
        <f>$I$44*$AS$44</f>
        <v>0</v>
      </c>
      <c r="AT96" s="13">
        <f>$I$44*$AT$44</f>
        <v>0</v>
      </c>
      <c r="AU96" s="13">
        <f>$I$44*$AU$44</f>
        <v>0</v>
      </c>
      <c r="AV96" s="13">
        <f>$I$44*$AV$44</f>
        <v>0</v>
      </c>
      <c r="AW96" s="13">
        <f>$I$44*$AW$44</f>
        <v>0</v>
      </c>
      <c r="AX96" s="13">
        <f>$I$44*$AX$44</f>
        <v>0</v>
      </c>
      <c r="AY96" s="13">
        <f>$I$44*$AY$44</f>
        <v>0</v>
      </c>
      <c r="AZ96" s="13">
        <f>$I$44*$AZ$44</f>
        <v>0</v>
      </c>
      <c r="BA96" s="13">
        <f>$I$44*$BA$44</f>
        <v>0</v>
      </c>
      <c r="BB96" s="13">
        <f>$I$44*$BB$44</f>
        <v>0</v>
      </c>
      <c r="BC96" s="13">
        <f>$I$44*$BC$44</f>
        <v>0</v>
      </c>
      <c r="BD96" s="13">
        <f>$I$44*$BD$44</f>
        <v>0</v>
      </c>
    </row>
    <row r="97" spans="1:56" ht="11.25" customHeight="1" x14ac:dyDescent="0.25">
      <c r="A97" s="9" t="s">
        <v>37</v>
      </c>
      <c r="B97" s="9" t="s">
        <v>833</v>
      </c>
      <c r="C97" s="9" t="s">
        <v>834</v>
      </c>
      <c r="D97" s="9" t="s">
        <v>835</v>
      </c>
      <c r="E97" s="9" t="s">
        <v>836</v>
      </c>
      <c r="F97" s="9" t="s">
        <v>837</v>
      </c>
      <c r="G97" s="9" t="s">
        <v>838</v>
      </c>
      <c r="L97" s="13">
        <f>$I$45*$L$45</f>
        <v>0</v>
      </c>
      <c r="M97" s="13">
        <f>$I$45*$M$45</f>
        <v>0</v>
      </c>
      <c r="N97" s="13">
        <f ca="1">$I$45*$N$45</f>
        <v>0</v>
      </c>
      <c r="O97" s="13">
        <f>$I$45*$O$45</f>
        <v>0</v>
      </c>
      <c r="P97" s="13">
        <f>$I$45*$P$45</f>
        <v>0</v>
      </c>
      <c r="Q97" s="13">
        <f>$I$45*$Q$45</f>
        <v>0</v>
      </c>
      <c r="R97" s="13">
        <f>$I$45*$R$45</f>
        <v>0</v>
      </c>
      <c r="S97" s="13">
        <f>$I$45*$S$45</f>
        <v>0</v>
      </c>
      <c r="T97" s="13">
        <f>$I$45*$T$45</f>
        <v>0</v>
      </c>
      <c r="U97" s="13">
        <f>$I$45*$U$45</f>
        <v>0</v>
      </c>
      <c r="V97" s="13">
        <f>$I$45*$V$45</f>
        <v>0</v>
      </c>
      <c r="W97" s="13">
        <f>$I$45*$W$45</f>
        <v>0</v>
      </c>
      <c r="X97" s="13">
        <f>$I$45*$X$45</f>
        <v>0</v>
      </c>
      <c r="Y97" s="13">
        <f>$I$45*$Y$45</f>
        <v>0</v>
      </c>
      <c r="Z97" s="13">
        <f>$I$45*$Z$45</f>
        <v>0</v>
      </c>
      <c r="AA97" s="13">
        <f>$I$45*$AA$45</f>
        <v>0</v>
      </c>
      <c r="AB97" s="13">
        <f ca="1">$I$45*$AB$45</f>
        <v>0</v>
      </c>
      <c r="AC97" s="13">
        <f ca="1">$I$45*$AC$45</f>
        <v>0</v>
      </c>
      <c r="AD97" s="13">
        <f>$I$45*$AD$45</f>
        <v>0</v>
      </c>
      <c r="AE97" s="13">
        <f>$I$45*$AE$45</f>
        <v>0</v>
      </c>
      <c r="AF97" s="13">
        <f ca="1">$I$45*$AF$45</f>
        <v>0</v>
      </c>
      <c r="AG97" s="13">
        <f ca="1">$I$45*$AG$45</f>
        <v>0</v>
      </c>
      <c r="AI97" s="13">
        <f>$I$45*$AI$45</f>
        <v>0</v>
      </c>
      <c r="AJ97" s="13">
        <f>$I$45*$AJ$45</f>
        <v>0</v>
      </c>
      <c r="AK97" s="13">
        <f>$I$45*$AK$45</f>
        <v>0</v>
      </c>
      <c r="AL97" s="13">
        <f>$I$45*$AL$45</f>
        <v>0</v>
      </c>
      <c r="AM97" s="13">
        <f>$I$45*$AM$45</f>
        <v>0</v>
      </c>
      <c r="AN97" s="13">
        <f>$I$45*$AN$45</f>
        <v>0</v>
      </c>
      <c r="AO97" s="13">
        <f>$I$45*$AO$45</f>
        <v>0</v>
      </c>
      <c r="AP97" s="13">
        <f>$I$45*$AP$45</f>
        <v>0</v>
      </c>
      <c r="AQ97" s="13">
        <f>$I$45*$AQ$45</f>
        <v>0</v>
      </c>
      <c r="AR97" s="13">
        <f>$I$45*$AR$45</f>
        <v>0</v>
      </c>
      <c r="AS97" s="13">
        <f>$I$45*$AS$45</f>
        <v>0</v>
      </c>
      <c r="AT97" s="13">
        <f>$I$45*$AT$45</f>
        <v>0</v>
      </c>
      <c r="AU97" s="13">
        <f>$I$45*$AU$45</f>
        <v>0</v>
      </c>
      <c r="AV97" s="13">
        <f>$I$45*$AV$45</f>
        <v>0</v>
      </c>
      <c r="AW97" s="13">
        <f>$I$45*$AW$45</f>
        <v>0</v>
      </c>
      <c r="AX97" s="13">
        <f>$I$45*$AX$45</f>
        <v>0</v>
      </c>
      <c r="AY97" s="13">
        <f>$I$45*$AY$45</f>
        <v>0</v>
      </c>
      <c r="AZ97" s="13">
        <f>$I$45*$AZ$45</f>
        <v>0</v>
      </c>
      <c r="BA97" s="13">
        <f>$I$45*$BA$45</f>
        <v>0</v>
      </c>
      <c r="BB97" s="13">
        <f>$I$45*$BB$45</f>
        <v>0</v>
      </c>
      <c r="BC97" s="13">
        <f>$I$45*$BC$45</f>
        <v>0</v>
      </c>
      <c r="BD97" s="13">
        <f>$I$45*$BD$45</f>
        <v>0</v>
      </c>
    </row>
    <row r="98" spans="1:56" ht="11.25" customHeight="1" x14ac:dyDescent="0.25">
      <c r="A98" s="9" t="s">
        <v>37</v>
      </c>
      <c r="B98" s="9" t="s">
        <v>833</v>
      </c>
      <c r="C98" s="9" t="s">
        <v>834</v>
      </c>
      <c r="D98" s="9" t="s">
        <v>835</v>
      </c>
      <c r="E98" s="9" t="s">
        <v>836</v>
      </c>
      <c r="F98" s="9" t="s">
        <v>837</v>
      </c>
      <c r="G98" s="9" t="s">
        <v>839</v>
      </c>
      <c r="L98" s="13">
        <f>$I$46*$L$46</f>
        <v>0</v>
      </c>
      <c r="M98" s="13">
        <f>$I$46*$M$46</f>
        <v>0</v>
      </c>
      <c r="N98" s="13">
        <f ca="1">$I$46*$N$46</f>
        <v>0</v>
      </c>
      <c r="O98" s="13">
        <f>$I$46*$O$46</f>
        <v>0</v>
      </c>
      <c r="P98" s="13">
        <f>$I$46*$P$46</f>
        <v>0</v>
      </c>
      <c r="Q98" s="13">
        <f>$I$46*$Q$46</f>
        <v>0</v>
      </c>
      <c r="R98" s="13">
        <f>$I$46*$R$46</f>
        <v>0</v>
      </c>
      <c r="S98" s="13">
        <f>$I$46*$S$46</f>
        <v>0</v>
      </c>
      <c r="T98" s="13">
        <f>$I$46*$T$46</f>
        <v>0</v>
      </c>
      <c r="U98" s="13">
        <f>$I$46*$U$46</f>
        <v>0</v>
      </c>
      <c r="V98" s="13">
        <f>$I$46*$V$46</f>
        <v>0</v>
      </c>
      <c r="W98" s="13">
        <f>$I$46*$W$46</f>
        <v>0</v>
      </c>
      <c r="X98" s="13">
        <f>$I$46*$X$46</f>
        <v>0</v>
      </c>
      <c r="Y98" s="13">
        <f>$I$46*$Y$46</f>
        <v>0</v>
      </c>
      <c r="Z98" s="13">
        <f>$I$46*$Z$46</f>
        <v>0</v>
      </c>
      <c r="AA98" s="13">
        <f>$I$46*$AA$46</f>
        <v>0</v>
      </c>
      <c r="AB98" s="13">
        <f ca="1">$I$46*$AB$46</f>
        <v>0</v>
      </c>
      <c r="AC98" s="13">
        <f ca="1">$I$46*$AC$46</f>
        <v>0</v>
      </c>
      <c r="AD98" s="13">
        <f>$I$46*$AD$46</f>
        <v>0</v>
      </c>
      <c r="AE98" s="13">
        <f>$I$46*$AE$46</f>
        <v>0</v>
      </c>
      <c r="AF98" s="13">
        <f ca="1">$I$46*$AF$46</f>
        <v>0</v>
      </c>
      <c r="AG98" s="13">
        <f ca="1">$I$46*$AG$46</f>
        <v>0</v>
      </c>
      <c r="AI98" s="13">
        <f>$I$46*$AI$46</f>
        <v>0</v>
      </c>
      <c r="AJ98" s="13">
        <f>$I$46*$AJ$46</f>
        <v>0</v>
      </c>
      <c r="AK98" s="13">
        <f>$I$46*$AK$46</f>
        <v>0</v>
      </c>
      <c r="AL98" s="13">
        <f>$I$46*$AL$46</f>
        <v>0</v>
      </c>
      <c r="AM98" s="13">
        <f>$I$46*$AM$46</f>
        <v>0</v>
      </c>
      <c r="AN98" s="13">
        <f>$I$46*$AN$46</f>
        <v>0</v>
      </c>
      <c r="AO98" s="13">
        <f>$I$46*$AO$46</f>
        <v>0</v>
      </c>
      <c r="AP98" s="13">
        <f>$I$46*$AP$46</f>
        <v>0</v>
      </c>
      <c r="AQ98" s="13">
        <f>$I$46*$AQ$46</f>
        <v>0</v>
      </c>
      <c r="AR98" s="13">
        <f>$I$46*$AR$46</f>
        <v>0</v>
      </c>
      <c r="AS98" s="13">
        <f>$I$46*$AS$46</f>
        <v>0</v>
      </c>
      <c r="AT98" s="13">
        <f>$I$46*$AT$46</f>
        <v>0</v>
      </c>
      <c r="AU98" s="13">
        <f>$I$46*$AU$46</f>
        <v>0</v>
      </c>
      <c r="AV98" s="13">
        <f>$I$46*$AV$46</f>
        <v>0</v>
      </c>
      <c r="AW98" s="13">
        <f>$I$46*$AW$46</f>
        <v>0</v>
      </c>
      <c r="AX98" s="13">
        <f>$I$46*$AX$46</f>
        <v>0</v>
      </c>
      <c r="AY98" s="13">
        <f>$I$46*$AY$46</f>
        <v>0</v>
      </c>
      <c r="AZ98" s="13">
        <f>$I$46*$AZ$46</f>
        <v>0</v>
      </c>
      <c r="BA98" s="13">
        <f>$I$46*$BA$46</f>
        <v>0</v>
      </c>
      <c r="BB98" s="13">
        <f>$I$46*$BB$46</f>
        <v>0</v>
      </c>
      <c r="BC98" s="13">
        <f>$I$46*$BC$46</f>
        <v>0</v>
      </c>
      <c r="BD98" s="13">
        <f>$I$46*$BD$46</f>
        <v>0</v>
      </c>
    </row>
    <row r="99" spans="1:56" ht="11.25" customHeight="1" x14ac:dyDescent="0.25">
      <c r="A99" s="9" t="s">
        <v>37</v>
      </c>
      <c r="B99" s="9" t="s">
        <v>833</v>
      </c>
      <c r="C99" s="9" t="s">
        <v>834</v>
      </c>
      <c r="D99" s="9" t="s">
        <v>835</v>
      </c>
      <c r="E99" s="9" t="s">
        <v>836</v>
      </c>
      <c r="F99" s="9" t="s">
        <v>837</v>
      </c>
      <c r="G99" s="9" t="s">
        <v>840</v>
      </c>
      <c r="L99" s="13">
        <f>$I$47*$L$47</f>
        <v>0</v>
      </c>
      <c r="M99" s="13">
        <f>$I$47*$M$47</f>
        <v>0</v>
      </c>
      <c r="N99" s="13">
        <f ca="1">$I$47*$N$47</f>
        <v>0</v>
      </c>
      <c r="O99" s="13">
        <f>$I$47*$O$47</f>
        <v>0</v>
      </c>
      <c r="P99" s="13">
        <f>$I$47*$P$47</f>
        <v>0</v>
      </c>
      <c r="Q99" s="13">
        <f>$I$47*$Q$47</f>
        <v>0</v>
      </c>
      <c r="R99" s="13">
        <f>$I$47*$R$47</f>
        <v>0</v>
      </c>
      <c r="S99" s="13">
        <f>$I$47*$S$47</f>
        <v>0</v>
      </c>
      <c r="T99" s="13">
        <f>$I$47*$T$47</f>
        <v>0</v>
      </c>
      <c r="U99" s="13">
        <f>$I$47*$U$47</f>
        <v>0</v>
      </c>
      <c r="V99" s="13">
        <f>$I$47*$V$47</f>
        <v>0</v>
      </c>
      <c r="W99" s="13">
        <f>$I$47*$W$47</f>
        <v>0</v>
      </c>
      <c r="X99" s="13">
        <f>$I$47*$X$47</f>
        <v>0</v>
      </c>
      <c r="Y99" s="13">
        <f>$I$47*$Y$47</f>
        <v>0</v>
      </c>
      <c r="Z99" s="13">
        <f>$I$47*$Z$47</f>
        <v>0</v>
      </c>
      <c r="AA99" s="13">
        <f>$I$47*$AA$47</f>
        <v>0</v>
      </c>
      <c r="AB99" s="13">
        <f ca="1">$I$47*$AB$47</f>
        <v>0</v>
      </c>
      <c r="AC99" s="13">
        <f ca="1">$I$47*$AC$47</f>
        <v>0</v>
      </c>
      <c r="AD99" s="13">
        <f>$I$47*$AD$47</f>
        <v>0</v>
      </c>
      <c r="AE99" s="13">
        <f>$I$47*$AE$47</f>
        <v>0</v>
      </c>
      <c r="AF99" s="13">
        <f ca="1">$I$47*$AF$47</f>
        <v>0</v>
      </c>
      <c r="AG99" s="13">
        <f ca="1">$I$47*$AG$47</f>
        <v>0</v>
      </c>
      <c r="AI99" s="13">
        <f>$I$47*$AI$47</f>
        <v>0</v>
      </c>
      <c r="AJ99" s="13">
        <f>$I$47*$AJ$47</f>
        <v>0</v>
      </c>
      <c r="AK99" s="13">
        <f>$I$47*$AK$47</f>
        <v>0</v>
      </c>
      <c r="AL99" s="13">
        <f>$I$47*$AL$47</f>
        <v>0</v>
      </c>
      <c r="AM99" s="13">
        <f>$I$47*$AM$47</f>
        <v>0</v>
      </c>
      <c r="AN99" s="13">
        <f>$I$47*$AN$47</f>
        <v>0</v>
      </c>
      <c r="AO99" s="13">
        <f>$I$47*$AO$47</f>
        <v>0</v>
      </c>
      <c r="AP99" s="13">
        <f>$I$47*$AP$47</f>
        <v>0</v>
      </c>
      <c r="AQ99" s="13">
        <f>$I$47*$AQ$47</f>
        <v>0</v>
      </c>
      <c r="AR99" s="13">
        <f>$I$47*$AR$47</f>
        <v>0</v>
      </c>
      <c r="AS99" s="13">
        <f>$I$47*$AS$47</f>
        <v>0</v>
      </c>
      <c r="AT99" s="13">
        <f>$I$47*$AT$47</f>
        <v>0</v>
      </c>
      <c r="AU99" s="13">
        <f>$I$47*$AU$47</f>
        <v>0</v>
      </c>
      <c r="AV99" s="13">
        <f>$I$47*$AV$47</f>
        <v>0</v>
      </c>
      <c r="AW99" s="13">
        <f>$I$47*$AW$47</f>
        <v>0</v>
      </c>
      <c r="AX99" s="13">
        <f>$I$47*$AX$47</f>
        <v>0</v>
      </c>
      <c r="AY99" s="13">
        <f>$I$47*$AY$47</f>
        <v>0</v>
      </c>
      <c r="AZ99" s="13">
        <f>$I$47*$AZ$47</f>
        <v>0</v>
      </c>
      <c r="BA99" s="13">
        <f>$I$47*$BA$47</f>
        <v>0</v>
      </c>
      <c r="BB99" s="13">
        <f>$I$47*$BB$47</f>
        <v>0</v>
      </c>
      <c r="BC99" s="13">
        <f>$I$47*$BC$47</f>
        <v>0</v>
      </c>
      <c r="BD99" s="13">
        <f>$I$47*$BD$47</f>
        <v>0</v>
      </c>
    </row>
    <row r="100" spans="1:56" ht="11.25" customHeight="1" x14ac:dyDescent="0.25">
      <c r="A100" s="9" t="s">
        <v>37</v>
      </c>
      <c r="B100" s="9" t="s">
        <v>841</v>
      </c>
      <c r="C100" s="9" t="s">
        <v>842</v>
      </c>
      <c r="D100" s="9" t="s">
        <v>843</v>
      </c>
      <c r="E100" s="9" t="s">
        <v>844</v>
      </c>
      <c r="F100" s="9" t="s">
        <v>845</v>
      </c>
      <c r="G100" s="9" t="s">
        <v>846</v>
      </c>
      <c r="L100" s="13">
        <f>$I$48*$L$48</f>
        <v>0</v>
      </c>
      <c r="M100" s="13">
        <f>$I$48*$M$48</f>
        <v>4132.6218301184799</v>
      </c>
      <c r="N100" s="13">
        <f ca="1">$I$48*$N$48</f>
        <v>0</v>
      </c>
      <c r="O100" s="13">
        <f>$I$48*$O$48</f>
        <v>0</v>
      </c>
      <c r="P100" s="13">
        <f>$I$48*$P$48</f>
        <v>0</v>
      </c>
      <c r="Q100" s="13">
        <f>$I$48*$Q$48</f>
        <v>136824.9976435233</v>
      </c>
      <c r="R100" s="13">
        <f>$I$48*$R$48</f>
        <v>21550.902501684275</v>
      </c>
      <c r="S100" s="13">
        <f>$I$48*$S$48</f>
        <v>0</v>
      </c>
      <c r="T100" s="13">
        <f>$I$48*$T$48</f>
        <v>0</v>
      </c>
      <c r="U100" s="13">
        <f>$I$48*$U$48</f>
        <v>0</v>
      </c>
      <c r="V100" s="13">
        <f>$I$48*$V$48</f>
        <v>0</v>
      </c>
      <c r="W100" s="13">
        <f>$I$48*$W$48</f>
        <v>0</v>
      </c>
      <c r="X100" s="13">
        <f>$I$48*$X$48</f>
        <v>204281.75941177647</v>
      </c>
      <c r="Y100" s="13">
        <f>$I$48*$Y$48</f>
        <v>0</v>
      </c>
      <c r="Z100" s="13">
        <f>$I$48*$Z$48</f>
        <v>0</v>
      </c>
      <c r="AA100" s="13">
        <f>$I$48*$AA$48</f>
        <v>596472.04191264999</v>
      </c>
      <c r="AB100" s="13">
        <f ca="1">$I$48*$AB$48</f>
        <v>-17897.648552901122</v>
      </c>
      <c r="AC100" s="13">
        <f ca="1">$I$48*$AC$48</f>
        <v>0</v>
      </c>
      <c r="AD100" s="13">
        <f>$I$48*$AD$48</f>
        <v>35739.239520686388</v>
      </c>
      <c r="AE100" s="13">
        <f>$I$48*$AE$48</f>
        <v>0</v>
      </c>
      <c r="AF100" s="13">
        <f ca="1">$I$48*$AF$48</f>
        <v>0</v>
      </c>
      <c r="AG100" s="13">
        <f ca="1">$I$48*$AG$48</f>
        <v>0</v>
      </c>
      <c r="AI100" s="13">
        <f>$I$48*$AI$48</f>
        <v>0</v>
      </c>
      <c r="AJ100" s="13">
        <f>$I$48*$AJ$48</f>
        <v>3276.7006564198286</v>
      </c>
      <c r="AK100" s="13">
        <f>$I$48*$AK$48</f>
        <v>0</v>
      </c>
      <c r="AL100" s="13">
        <f>$I$48*$AL$48</f>
        <v>0</v>
      </c>
      <c r="AM100" s="13">
        <f>$I$48*$AM$48</f>
        <v>0</v>
      </c>
      <c r="AN100" s="13">
        <f>$I$48*$AN$48</f>
        <v>87386.60128524933</v>
      </c>
      <c r="AO100" s="13">
        <f>$I$48*$AO$48</f>
        <v>13565.440446574663</v>
      </c>
      <c r="AP100" s="13">
        <f>$I$48*$AP$48</f>
        <v>0</v>
      </c>
      <c r="AQ100" s="13">
        <f>$I$48*$AQ$48</f>
        <v>0</v>
      </c>
      <c r="AR100" s="13">
        <f>$I$48*$AR$48</f>
        <v>0</v>
      </c>
      <c r="AS100" s="13">
        <f>$I$48*$AS$48</f>
        <v>0</v>
      </c>
      <c r="AT100" s="13">
        <f>$I$48*$AT$48</f>
        <v>0</v>
      </c>
      <c r="AU100" s="13">
        <f>$I$48*$AU$48</f>
        <v>151695.12199459007</v>
      </c>
      <c r="AV100" s="13">
        <f>$I$48*$AV$48</f>
        <v>0</v>
      </c>
      <c r="AW100" s="13">
        <f>$I$48*$AW$48</f>
        <v>0</v>
      </c>
      <c r="AX100" s="13">
        <f>$I$48*$AX$48</f>
        <v>513771.95412911783</v>
      </c>
      <c r="AY100" s="13">
        <f>$I$48*$AY$48</f>
        <v>0</v>
      </c>
      <c r="AZ100" s="13">
        <f>$I$48*$AZ$48</f>
        <v>0</v>
      </c>
      <c r="BA100" s="13">
        <f>$I$48*$BA$48</f>
        <v>45605.953932804514</v>
      </c>
      <c r="BB100" s="13">
        <f>$I$48*$BB$48</f>
        <v>0</v>
      </c>
      <c r="BC100" s="13">
        <f>$I$48*$BC$48</f>
        <v>0</v>
      </c>
      <c r="BD100" s="13">
        <f>$I$48*$BD$48</f>
        <v>0</v>
      </c>
    </row>
    <row r="101" spans="1:56" ht="11.25" customHeight="1" x14ac:dyDescent="0.25">
      <c r="A101" s="9" t="s">
        <v>37</v>
      </c>
      <c r="B101" s="9" t="s">
        <v>847</v>
      </c>
      <c r="C101" s="9" t="s">
        <v>848</v>
      </c>
      <c r="D101" s="9" t="s">
        <v>849</v>
      </c>
      <c r="E101" s="9" t="s">
        <v>850</v>
      </c>
      <c r="F101" s="9" t="s">
        <v>851</v>
      </c>
      <c r="G101" s="9" t="s">
        <v>852</v>
      </c>
      <c r="L101" s="13">
        <f>$I$49*$L$49</f>
        <v>0</v>
      </c>
      <c r="M101" s="13">
        <f>$I$49*$M$49</f>
        <v>0</v>
      </c>
      <c r="N101" s="13">
        <f ca="1">$I$49*$N$49</f>
        <v>0</v>
      </c>
      <c r="O101" s="13">
        <f>$I$49*$O$49</f>
        <v>0</v>
      </c>
      <c r="P101" s="13">
        <f>$I$49*$P$49</f>
        <v>0</v>
      </c>
      <c r="Q101" s="13">
        <f>$I$49*$Q$49</f>
        <v>0</v>
      </c>
      <c r="R101" s="13">
        <f>$I$49*$R$49</f>
        <v>0</v>
      </c>
      <c r="S101" s="13">
        <f>$I$49*$S$49</f>
        <v>0</v>
      </c>
      <c r="T101" s="13">
        <f>$I$49*$T$49</f>
        <v>0</v>
      </c>
      <c r="U101" s="13">
        <f>$I$49*$U$49</f>
        <v>0</v>
      </c>
      <c r="V101" s="13">
        <f>$I$49*$V$49</f>
        <v>0</v>
      </c>
      <c r="W101" s="13">
        <f>$I$49*$W$49</f>
        <v>0</v>
      </c>
      <c r="X101" s="13">
        <f>$I$49*$X$49</f>
        <v>0</v>
      </c>
      <c r="Y101" s="13">
        <f>$I$49*$Y$49</f>
        <v>0</v>
      </c>
      <c r="Z101" s="13">
        <f>$I$49*$Z$49</f>
        <v>0</v>
      </c>
      <c r="AA101" s="13">
        <f>$I$49*$AA$49</f>
        <v>0</v>
      </c>
      <c r="AB101" s="13">
        <f ca="1">$I$49*$AB$49</f>
        <v>0</v>
      </c>
      <c r="AC101" s="13">
        <f ca="1">$I$49*$AC$49</f>
        <v>0</v>
      </c>
      <c r="AD101" s="13">
        <f>$I$49*$AD$49</f>
        <v>0</v>
      </c>
      <c r="AE101" s="13">
        <f>$I$49*$AE$49</f>
        <v>0</v>
      </c>
      <c r="AF101" s="13">
        <f ca="1">$I$49*$AF$49</f>
        <v>0</v>
      </c>
      <c r="AG101" s="13">
        <f ca="1">$I$49*$AG$49</f>
        <v>0</v>
      </c>
      <c r="AI101" s="13">
        <f>$I$49*$AI$49</f>
        <v>0</v>
      </c>
      <c r="AJ101" s="13">
        <f>$I$49*$AJ$49</f>
        <v>0</v>
      </c>
      <c r="AK101" s="13">
        <f>$I$49*$AK$49</f>
        <v>0</v>
      </c>
      <c r="AL101" s="13">
        <f>$I$49*$AL$49</f>
        <v>0</v>
      </c>
      <c r="AM101" s="13">
        <f>$I$49*$AM$49</f>
        <v>0</v>
      </c>
      <c r="AN101" s="13">
        <f>$I$49*$AN$49</f>
        <v>0</v>
      </c>
      <c r="AO101" s="13">
        <f>$I$49*$AO$49</f>
        <v>0</v>
      </c>
      <c r="AP101" s="13">
        <f>$I$49*$AP$49</f>
        <v>0</v>
      </c>
      <c r="AQ101" s="13">
        <f>$I$49*$AQ$49</f>
        <v>0</v>
      </c>
      <c r="AR101" s="13">
        <f>$I$49*$AR$49</f>
        <v>0</v>
      </c>
      <c r="AS101" s="13">
        <f>$I$49*$AS$49</f>
        <v>0</v>
      </c>
      <c r="AT101" s="13">
        <f>$I$49*$AT$49</f>
        <v>0</v>
      </c>
      <c r="AU101" s="13">
        <f>$I$49*$AU$49</f>
        <v>0</v>
      </c>
      <c r="AV101" s="13">
        <f>$I$49*$AV$49</f>
        <v>0</v>
      </c>
      <c r="AW101" s="13">
        <f>$I$49*$AW$49</f>
        <v>0</v>
      </c>
      <c r="AX101" s="13">
        <f>$I$49*$AX$49</f>
        <v>0</v>
      </c>
      <c r="AY101" s="13">
        <f>$I$49*$AY$49</f>
        <v>0</v>
      </c>
      <c r="AZ101" s="13">
        <f>$I$49*$AZ$49</f>
        <v>0</v>
      </c>
      <c r="BA101" s="13">
        <f>$I$49*$BA$49</f>
        <v>0</v>
      </c>
      <c r="BB101" s="13">
        <f>$I$49*$BB$49</f>
        <v>0</v>
      </c>
      <c r="BC101" s="13">
        <f>$I$49*$BC$49</f>
        <v>0</v>
      </c>
      <c r="BD101" s="13">
        <f>$I$49*$BD$49</f>
        <v>0</v>
      </c>
    </row>
    <row r="102" spans="1:56" ht="11.25" customHeight="1" x14ac:dyDescent="0.25">
      <c r="A102" s="9" t="s">
        <v>44</v>
      </c>
      <c r="B102" s="9" t="s">
        <v>853</v>
      </c>
      <c r="C102" s="9" t="s">
        <v>854</v>
      </c>
      <c r="D102" s="9" t="s">
        <v>855</v>
      </c>
      <c r="E102" s="9" t="s">
        <v>856</v>
      </c>
      <c r="F102" s="9" t="s">
        <v>857</v>
      </c>
      <c r="G102" s="9" t="s">
        <v>858</v>
      </c>
      <c r="L102" s="13">
        <f>$I$50*$L$50</f>
        <v>0</v>
      </c>
      <c r="M102" s="13">
        <f>$I$50*$M$50</f>
        <v>762.66313009414364</v>
      </c>
      <c r="N102" s="13">
        <f ca="1">$I$50*$N$50</f>
        <v>0</v>
      </c>
      <c r="O102" s="13">
        <f>$I$50*$O$50</f>
        <v>0</v>
      </c>
      <c r="P102" s="13">
        <f>$I$50*$P$50</f>
        <v>0</v>
      </c>
      <c r="Q102" s="13">
        <f>$I$50*$Q$50</f>
        <v>25250.648442454174</v>
      </c>
      <c r="R102" s="13">
        <f>$I$50*$R$50</f>
        <v>3977.1552863855991</v>
      </c>
      <c r="S102" s="13">
        <f>$I$50*$S$50</f>
        <v>0</v>
      </c>
      <c r="T102" s="13">
        <f>$I$50*$T$50</f>
        <v>0</v>
      </c>
      <c r="U102" s="13">
        <f>$I$50*$U$50</f>
        <v>0</v>
      </c>
      <c r="V102" s="13">
        <f>$I$50*$V$50</f>
        <v>0</v>
      </c>
      <c r="W102" s="13">
        <f>$I$50*$W$50</f>
        <v>0</v>
      </c>
      <c r="X102" s="13">
        <f>$I$50*$X$50</f>
        <v>37699.594218534527</v>
      </c>
      <c r="Y102" s="13">
        <f>$I$50*$Y$50</f>
        <v>0</v>
      </c>
      <c r="Z102" s="13">
        <f>$I$50*$Z$50</f>
        <v>0</v>
      </c>
      <c r="AA102" s="13">
        <f>$I$50*$AA$50</f>
        <v>110077.15034155567</v>
      </c>
      <c r="AB102" s="13">
        <f ca="1">$I$50*$AB$50</f>
        <v>-3302.9580803160879</v>
      </c>
      <c r="AC102" s="13">
        <f ca="1">$I$50*$AC$50</f>
        <v>0</v>
      </c>
      <c r="AD102" s="13">
        <f>$I$50*$AD$50</f>
        <v>6595.5708991765068</v>
      </c>
      <c r="AE102" s="13">
        <f>$I$50*$AE$50</f>
        <v>0</v>
      </c>
      <c r="AF102" s="13">
        <f ca="1">$I$50*$AF$50</f>
        <v>0</v>
      </c>
      <c r="AG102" s="13">
        <f ca="1">$I$50*$AG$50</f>
        <v>0</v>
      </c>
      <c r="AI102" s="13">
        <f>$I$50*$AI$50</f>
        <v>0</v>
      </c>
      <c r="AJ102" s="13">
        <f>$I$50*$AJ$50</f>
        <v>604.70541020566725</v>
      </c>
      <c r="AK102" s="13">
        <f>$I$50*$AK$50</f>
        <v>0</v>
      </c>
      <c r="AL102" s="13">
        <f>$I$50*$AL$50</f>
        <v>0</v>
      </c>
      <c r="AM102" s="13">
        <f>$I$50*$AM$50</f>
        <v>0</v>
      </c>
      <c r="AN102" s="13">
        <f>$I$50*$AN$50</f>
        <v>16126.938685455843</v>
      </c>
      <c r="AO102" s="13">
        <f>$I$50*$AO$50</f>
        <v>2503.4618935344756</v>
      </c>
      <c r="AP102" s="13">
        <f>$I$50*$AP$50</f>
        <v>0</v>
      </c>
      <c r="AQ102" s="13">
        <f>$I$50*$AQ$50</f>
        <v>0</v>
      </c>
      <c r="AR102" s="13">
        <f>$I$50*$AR$50</f>
        <v>0</v>
      </c>
      <c r="AS102" s="13">
        <f>$I$50*$AS$50</f>
        <v>0</v>
      </c>
      <c r="AT102" s="13">
        <f>$I$50*$AT$50</f>
        <v>0</v>
      </c>
      <c r="AU102" s="13">
        <f>$I$50*$AU$50</f>
        <v>27994.88588993152</v>
      </c>
      <c r="AV102" s="13">
        <f>$I$50*$AV$50</f>
        <v>0</v>
      </c>
      <c r="AW102" s="13">
        <f>$I$50*$AW$50</f>
        <v>0</v>
      </c>
      <c r="AX102" s="13">
        <f>$I$50*$AX$50</f>
        <v>94815.09385519143</v>
      </c>
      <c r="AY102" s="13">
        <f>$I$50*$AY$50</f>
        <v>0</v>
      </c>
      <c r="AZ102" s="13">
        <f>$I$50*$AZ$50</f>
        <v>0</v>
      </c>
      <c r="BA102" s="13">
        <f>$I$50*$BA$50</f>
        <v>8416.443847784818</v>
      </c>
      <c r="BB102" s="13">
        <f>$I$50*$BB$50</f>
        <v>0</v>
      </c>
      <c r="BC102" s="13">
        <f>$I$50*$BC$50</f>
        <v>0</v>
      </c>
      <c r="BD102" s="13">
        <f>$I$50*$BD$50</f>
        <v>0</v>
      </c>
    </row>
    <row r="103" spans="1:56" ht="11.25" customHeight="1" x14ac:dyDescent="0.25">
      <c r="A103" s="9" t="s">
        <v>44</v>
      </c>
      <c r="B103" s="9" t="s">
        <v>853</v>
      </c>
      <c r="C103" s="9" t="s">
        <v>854</v>
      </c>
      <c r="D103" s="9" t="s">
        <v>859</v>
      </c>
      <c r="E103" s="9" t="s">
        <v>860</v>
      </c>
      <c r="F103" s="9" t="s">
        <v>861</v>
      </c>
      <c r="G103" s="9" t="s">
        <v>862</v>
      </c>
      <c r="L103" s="13">
        <f>$I$51*$L$51</f>
        <v>0</v>
      </c>
      <c r="M103" s="13">
        <f>$I$51*$M$51</f>
        <v>0</v>
      </c>
      <c r="N103" s="13">
        <f ca="1">$I$51*$N$51</f>
        <v>0</v>
      </c>
      <c r="O103" s="13">
        <f>$I$51*$O$51</f>
        <v>0</v>
      </c>
      <c r="P103" s="13">
        <f>$I$51*$P$51</f>
        <v>0</v>
      </c>
      <c r="Q103" s="13">
        <f>$I$51*$Q$51</f>
        <v>0</v>
      </c>
      <c r="R103" s="13">
        <f>$I$51*$R$51</f>
        <v>0</v>
      </c>
      <c r="S103" s="13">
        <f>$I$51*$S$51</f>
        <v>0</v>
      </c>
      <c r="T103" s="13">
        <f>$I$51*$T$51</f>
        <v>0</v>
      </c>
      <c r="U103" s="13">
        <f>$I$51*$U$51</f>
        <v>0</v>
      </c>
      <c r="V103" s="13">
        <f>$I$51*$V$51</f>
        <v>0</v>
      </c>
      <c r="W103" s="13">
        <f>$I$51*$W$51</f>
        <v>0</v>
      </c>
      <c r="X103" s="13">
        <f>$I$51*$X$51</f>
        <v>0</v>
      </c>
      <c r="Y103" s="13">
        <f>$I$51*$Y$51</f>
        <v>0</v>
      </c>
      <c r="Z103" s="13">
        <f>$I$51*$Z$51</f>
        <v>0</v>
      </c>
      <c r="AA103" s="13">
        <f>$I$51*$AA$51</f>
        <v>0</v>
      </c>
      <c r="AB103" s="13">
        <f ca="1">$I$51*$AB$51</f>
        <v>0</v>
      </c>
      <c r="AC103" s="13">
        <f ca="1">$I$51*$AC$51</f>
        <v>0</v>
      </c>
      <c r="AD103" s="13">
        <f>$I$51*$AD$51</f>
        <v>0</v>
      </c>
      <c r="AE103" s="13">
        <f>$I$51*$AE$51</f>
        <v>0</v>
      </c>
      <c r="AF103" s="13">
        <f ca="1">$I$51*$AF$51</f>
        <v>0</v>
      </c>
      <c r="AG103" s="13">
        <f ca="1">$I$51*$AG$51</f>
        <v>0</v>
      </c>
      <c r="AI103" s="13">
        <f>$I$51*$AI$51</f>
        <v>0</v>
      </c>
      <c r="AJ103" s="13">
        <f>$I$51*$AJ$51</f>
        <v>0</v>
      </c>
      <c r="AK103" s="13">
        <f>$I$51*$AK$51</f>
        <v>0</v>
      </c>
      <c r="AL103" s="13">
        <f>$I$51*$AL$51</f>
        <v>0</v>
      </c>
      <c r="AM103" s="13">
        <f>$I$51*$AM$51</f>
        <v>0</v>
      </c>
      <c r="AN103" s="13">
        <f>$I$51*$AN$51</f>
        <v>0</v>
      </c>
      <c r="AO103" s="13">
        <f>$I$51*$AO$51</f>
        <v>0</v>
      </c>
      <c r="AP103" s="13">
        <f>$I$51*$AP$51</f>
        <v>0</v>
      </c>
      <c r="AQ103" s="13">
        <f>$I$51*$AQ$51</f>
        <v>0</v>
      </c>
      <c r="AR103" s="13">
        <f>$I$51*$AR$51</f>
        <v>0</v>
      </c>
      <c r="AS103" s="13">
        <f>$I$51*$AS$51</f>
        <v>0</v>
      </c>
      <c r="AT103" s="13">
        <f>$I$51*$AT$51</f>
        <v>0</v>
      </c>
      <c r="AU103" s="13">
        <f>$I$51*$AU$51</f>
        <v>0</v>
      </c>
      <c r="AV103" s="13">
        <f>$I$51*$AV$51</f>
        <v>0</v>
      </c>
      <c r="AW103" s="13">
        <f>$I$51*$AW$51</f>
        <v>0</v>
      </c>
      <c r="AX103" s="13">
        <f>$I$51*$AX$51</f>
        <v>0</v>
      </c>
      <c r="AY103" s="13">
        <f>$I$51*$AY$51</f>
        <v>0</v>
      </c>
      <c r="AZ103" s="13">
        <f>$I$51*$AZ$51</f>
        <v>0</v>
      </c>
      <c r="BA103" s="13">
        <f>$I$51*$BA$51</f>
        <v>0</v>
      </c>
      <c r="BB103" s="13">
        <f>$I$51*$BB$51</f>
        <v>0</v>
      </c>
      <c r="BC103" s="13">
        <f>$I$51*$BC$51</f>
        <v>0</v>
      </c>
      <c r="BD103" s="13">
        <f>$I$51*$BD$51</f>
        <v>0</v>
      </c>
    </row>
  </sheetData>
  <mergeCells count="88"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  <mergeCell ref="E45:E47"/>
    <mergeCell ref="F45:F47"/>
    <mergeCell ref="A50:A51"/>
    <mergeCell ref="B50:B51"/>
    <mergeCell ref="C50:C51"/>
    <mergeCell ref="D45:D47"/>
    <mergeCell ref="AI1:BD1"/>
    <mergeCell ref="AI2:BD2"/>
    <mergeCell ref="AI3:AP3"/>
    <mergeCell ref="AQ3:AW3"/>
    <mergeCell ref="AY3:AZ3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F5:F7"/>
    <mergeCell ref="B10:B14"/>
    <mergeCell ref="G1:G4"/>
    <mergeCell ref="H1:H4"/>
    <mergeCell ref="I1:I4"/>
    <mergeCell ref="F1:F4"/>
    <mergeCell ref="F10:F12"/>
    <mergeCell ref="F13:F14"/>
    <mergeCell ref="J1:J4"/>
    <mergeCell ref="L1:AG1"/>
    <mergeCell ref="L2:AG2"/>
    <mergeCell ref="L3:S3"/>
    <mergeCell ref="T3:Z3"/>
    <mergeCell ref="A1:A4"/>
    <mergeCell ref="B1:B4"/>
    <mergeCell ref="C1:C4"/>
    <mergeCell ref="D1:D4"/>
    <mergeCell ref="E1:E4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193-700B-47AF-9737-A19852D14FAA}">
  <dimension ref="A1:AH85"/>
  <sheetViews>
    <sheetView showGridLines="0" topLeftCell="L1" workbookViewId="0">
      <selection activeCell="V43" sqref="V43"/>
    </sheetView>
  </sheetViews>
  <sheetFormatPr defaultRowHeight="11.25" customHeight="1" x14ac:dyDescent="0.25"/>
  <cols>
    <col min="1" max="1" width="9.28515625" style="9" bestFit="1" customWidth="1"/>
    <col min="2" max="2" width="29" style="9" bestFit="1" customWidth="1"/>
    <col min="3" max="3" width="38.7109375" style="9" bestFit="1" customWidth="1"/>
    <col min="4" max="4" width="61.7109375" style="9" bestFit="1" customWidth="1"/>
    <col min="5" max="5" width="71.42578125" style="9" bestFit="1" customWidth="1"/>
    <col min="6" max="6" width="81" style="9" bestFit="1" customWidth="1"/>
    <col min="7" max="7" width="81.8554687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20" style="9" bestFit="1" customWidth="1"/>
    <col min="12" max="12" width="4.140625" style="9" bestFit="1" customWidth="1"/>
    <col min="13" max="13" width="7.140625" style="9" bestFit="1" customWidth="1"/>
    <col min="14" max="14" width="6" style="9" bestFit="1" customWidth="1"/>
    <col min="15" max="15" width="11.140625" style="9" bestFit="1" customWidth="1"/>
    <col min="16" max="16" width="8.140625" style="9" bestFit="1" customWidth="1"/>
    <col min="17" max="17" width="15" style="9" bestFit="1" customWidth="1"/>
    <col min="18" max="18" width="6" style="9" bestFit="1" customWidth="1"/>
    <col min="19" max="19" width="10.42578125" style="9" bestFit="1" customWidth="1"/>
    <col min="20" max="20" width="7" style="9" bestFit="1" customWidth="1"/>
    <col min="21" max="21" width="11.140625" style="9" bestFit="1" customWidth="1"/>
    <col min="22" max="22" width="11" style="9" bestFit="1" customWidth="1"/>
    <col min="23" max="23" width="9.140625" style="9"/>
    <col min="24" max="24" width="4.140625" style="9" bestFit="1" customWidth="1"/>
    <col min="25" max="25" width="7.140625" style="9" bestFit="1" customWidth="1"/>
    <col min="26" max="26" width="6" style="9" bestFit="1" customWidth="1"/>
    <col min="27" max="27" width="11.140625" style="9" bestFit="1" customWidth="1"/>
    <col min="28" max="28" width="8.140625" style="9" bestFit="1" customWidth="1"/>
    <col min="29" max="29" width="15" style="9" bestFit="1" customWidth="1"/>
    <col min="30" max="30" width="6" style="9" bestFit="1" customWidth="1"/>
    <col min="31" max="31" width="10.42578125" style="9" bestFit="1" customWidth="1"/>
    <col min="32" max="32" width="7" style="9" bestFit="1" customWidth="1"/>
    <col min="33" max="33" width="11.140625" style="9" bestFit="1" customWidth="1"/>
    <col min="34" max="34" width="11" style="9" bestFit="1" customWidth="1"/>
    <col min="35" max="16384" width="9.140625" style="9"/>
  </cols>
  <sheetData>
    <row r="1" spans="1:34" ht="11.25" customHeight="1" x14ac:dyDescent="0.25">
      <c r="A1" s="112" t="s">
        <v>56</v>
      </c>
      <c r="B1" s="112" t="s">
        <v>57</v>
      </c>
      <c r="C1" s="112" t="s">
        <v>58</v>
      </c>
      <c r="D1" s="112" t="s">
        <v>59</v>
      </c>
      <c r="E1" s="112" t="s">
        <v>60</v>
      </c>
      <c r="F1" s="112" t="s">
        <v>15</v>
      </c>
      <c r="G1" s="112" t="s">
        <v>62</v>
      </c>
      <c r="H1" s="112" t="s">
        <v>63</v>
      </c>
      <c r="I1" s="112" t="s">
        <v>500</v>
      </c>
      <c r="J1" s="95"/>
      <c r="L1" s="110" t="s">
        <v>863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X1" s="110" t="s">
        <v>864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</row>
    <row r="2" spans="1:34" ht="11.25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95"/>
      <c r="L2" s="110" t="s">
        <v>427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X2" s="110" t="s">
        <v>427</v>
      </c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1.2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95"/>
      <c r="L3" s="110" t="s">
        <v>400</v>
      </c>
      <c r="M3" s="110"/>
      <c r="N3" s="110"/>
      <c r="O3" s="110"/>
      <c r="P3" s="110"/>
      <c r="Q3" s="30" t="s">
        <v>431</v>
      </c>
      <c r="R3" s="110" t="s">
        <v>409</v>
      </c>
      <c r="S3" s="110"/>
      <c r="T3" s="110"/>
      <c r="U3" s="30" t="s">
        <v>419</v>
      </c>
      <c r="V3" s="30" t="s">
        <v>422</v>
      </c>
      <c r="X3" s="110" t="s">
        <v>400</v>
      </c>
      <c r="Y3" s="110"/>
      <c r="Z3" s="110"/>
      <c r="AA3" s="110"/>
      <c r="AB3" s="110"/>
      <c r="AC3" s="30" t="s">
        <v>431</v>
      </c>
      <c r="AD3" s="110" t="s">
        <v>409</v>
      </c>
      <c r="AE3" s="110"/>
      <c r="AF3" s="110"/>
      <c r="AG3" s="30" t="s">
        <v>419</v>
      </c>
      <c r="AH3" s="30" t="s">
        <v>422</v>
      </c>
    </row>
    <row r="4" spans="1:34" ht="11.2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95"/>
      <c r="L4" s="30" t="s">
        <v>402</v>
      </c>
      <c r="M4" s="30" t="s">
        <v>428</v>
      </c>
      <c r="N4" s="30" t="s">
        <v>429</v>
      </c>
      <c r="O4" s="30" t="s">
        <v>488</v>
      </c>
      <c r="P4" s="30" t="s">
        <v>430</v>
      </c>
      <c r="Q4" s="30" t="s">
        <v>432</v>
      </c>
      <c r="R4" s="30" t="s">
        <v>433</v>
      </c>
      <c r="S4" s="30" t="s">
        <v>434</v>
      </c>
      <c r="T4" s="30" t="s">
        <v>435</v>
      </c>
      <c r="U4" s="30" t="s">
        <v>420</v>
      </c>
      <c r="V4" s="30" t="s">
        <v>436</v>
      </c>
      <c r="X4" s="30" t="s">
        <v>402</v>
      </c>
      <c r="Y4" s="30" t="s">
        <v>428</v>
      </c>
      <c r="Z4" s="30" t="s">
        <v>429</v>
      </c>
      <c r="AA4" s="30" t="s">
        <v>488</v>
      </c>
      <c r="AB4" s="30" t="s">
        <v>430</v>
      </c>
      <c r="AC4" s="30" t="s">
        <v>432</v>
      </c>
      <c r="AD4" s="30" t="s">
        <v>433</v>
      </c>
      <c r="AE4" s="30" t="s">
        <v>434</v>
      </c>
      <c r="AF4" s="30" t="s">
        <v>435</v>
      </c>
      <c r="AG4" s="30" t="s">
        <v>420</v>
      </c>
      <c r="AH4" s="30" t="s">
        <v>436</v>
      </c>
    </row>
    <row r="5" spans="1:34" ht="11.25" customHeight="1" x14ac:dyDescent="0.25">
      <c r="A5" s="113" t="s">
        <v>39</v>
      </c>
      <c r="B5" s="113" t="s">
        <v>65</v>
      </c>
      <c r="C5" s="113" t="s">
        <v>25</v>
      </c>
      <c r="D5" s="113" t="s">
        <v>25</v>
      </c>
      <c r="E5" s="113" t="s">
        <v>25</v>
      </c>
      <c r="F5" s="113" t="s">
        <v>25</v>
      </c>
      <c r="G5" s="29" t="s">
        <v>67</v>
      </c>
      <c r="H5" s="29" t="s">
        <v>66</v>
      </c>
      <c r="I5" s="29">
        <f>'MERCADO TE'!$U$2</f>
        <v>60.844000000000008</v>
      </c>
      <c r="J5" s="15"/>
      <c r="L5" s="26">
        <f>('TE BE'!$L$5+'TE BF'!$L$5+'TE CVA'!$L$5)*1</f>
        <v>0</v>
      </c>
      <c r="M5" s="26">
        <f>('TE BE'!$M$5+'TE BF'!$M$5+'TE CVA'!$M$5)*1</f>
        <v>0</v>
      </c>
      <c r="N5" s="26">
        <f>('TE BE'!$N$5+'TE BF'!$N$5+'TE CVA'!$N$5)*1</f>
        <v>0</v>
      </c>
      <c r="O5" s="26">
        <f>('TE BE'!$O$5+'TE BF'!$O$5+'TE CVA'!$O$5)*1</f>
        <v>0</v>
      </c>
      <c r="P5" s="26">
        <f>('TE BE'!$P$5+'TE BF'!$P$5+'TE CVA'!$P$5)*1</f>
        <v>0</v>
      </c>
      <c r="Q5" s="26">
        <f>('TE BE'!$R$5+'TE BF'!$R$5+'TE CVA'!$R$5)*1</f>
        <v>118.1262919971184</v>
      </c>
      <c r="R5" s="26">
        <f>('TE BE'!$T$5+'TE BF'!$T$5+'TE CVA'!$T$5)*1</f>
        <v>0</v>
      </c>
      <c r="S5" s="26">
        <f>('TE BE'!$U$5+'TE BF'!$U$5+'TE CVA'!$U$5)*1</f>
        <v>0</v>
      </c>
      <c r="T5" s="26">
        <f>('TE BE'!$V$5+'TE BF'!$V$5+'TE CVA'!$V$5)*1</f>
        <v>0</v>
      </c>
      <c r="U5" s="26">
        <f>('TE BE'!$X$5+'TE BF'!$X$5+'TE CVA'!$X$5)*1</f>
        <v>-1.6978144056940898</v>
      </c>
      <c r="V5" s="26">
        <f>('TE BE'!$Z$5+'TE BF'!$Z$5+'TE CVA'!$Z$5)*1</f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131.87026948770301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</row>
    <row r="6" spans="1:34" ht="11.25" customHeight="1" x14ac:dyDescent="0.25">
      <c r="A6" s="113"/>
      <c r="B6" s="113"/>
      <c r="C6" s="113"/>
      <c r="D6" s="113"/>
      <c r="E6" s="113"/>
      <c r="F6" s="113"/>
      <c r="G6" s="29" t="s">
        <v>68</v>
      </c>
      <c r="H6" s="29" t="s">
        <v>66</v>
      </c>
      <c r="I6" s="29">
        <f>'MERCADO TE'!$U$3</f>
        <v>1244.3510000000001</v>
      </c>
      <c r="J6" s="15"/>
      <c r="L6" s="26">
        <f>('TE BE'!$L$6+'TE BF'!$L$6+'TE CVA'!$L$6)*1</f>
        <v>0</v>
      </c>
      <c r="M6" s="26">
        <f>('TE BE'!$M$6+'TE BF'!$M$6+'TE CVA'!$M$6)*1</f>
        <v>0</v>
      </c>
      <c r="N6" s="26">
        <f>('TE BE'!$N$6+'TE BF'!$N$6+'TE CVA'!$N$6)*1</f>
        <v>0</v>
      </c>
      <c r="O6" s="26">
        <f>('TE BE'!$O$6+'TE BF'!$O$6+'TE CVA'!$O$6)*1</f>
        <v>0</v>
      </c>
      <c r="P6" s="26">
        <f>('TE BE'!$P$6+'TE BF'!$P$6+'TE CVA'!$P$6)*1</f>
        <v>0</v>
      </c>
      <c r="Q6" s="26">
        <f>('TE BE'!$R$6+'TE BF'!$R$6+'TE CVA'!$R$6)*1</f>
        <v>118.1262919971184</v>
      </c>
      <c r="R6" s="26">
        <f>('TE BE'!$T$6+'TE BF'!$T$6+'TE CVA'!$T$6)*1</f>
        <v>0</v>
      </c>
      <c r="S6" s="26">
        <f>('TE BE'!$U$6+'TE BF'!$U$6+'TE CVA'!$U$6)*1</f>
        <v>0</v>
      </c>
      <c r="T6" s="26">
        <f>('TE BE'!$V$6+'TE BF'!$V$6+'TE CVA'!$V$6)*1</f>
        <v>0</v>
      </c>
      <c r="U6" s="26">
        <f>('TE BE'!$X$6+'TE BF'!$X$6+'TE CVA'!$X$6)*1</f>
        <v>-1.6978144056940898</v>
      </c>
      <c r="V6" s="26">
        <f>('TE BE'!$Z$6+'TE BF'!$Z$6+'TE CVA'!$Z$6)*1</f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131.87026948770301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</row>
    <row r="7" spans="1:34" ht="11.25" customHeight="1" x14ac:dyDescent="0.25">
      <c r="A7" s="113"/>
      <c r="B7" s="28" t="s">
        <v>69</v>
      </c>
      <c r="C7" s="28" t="s">
        <v>25</v>
      </c>
      <c r="D7" s="28" t="s">
        <v>25</v>
      </c>
      <c r="E7" s="28" t="s">
        <v>25</v>
      </c>
      <c r="F7" s="28" t="s">
        <v>25</v>
      </c>
      <c r="G7" s="29" t="s">
        <v>70</v>
      </c>
      <c r="H7" s="29" t="s">
        <v>66</v>
      </c>
      <c r="I7" s="29">
        <f>'MERCADO TE'!$U$4</f>
        <v>0</v>
      </c>
      <c r="J7" s="15"/>
      <c r="L7" s="26">
        <f>('TE BE'!$L$7+'TE BF'!$L$7+'TE CVA'!$L$7)*1</f>
        <v>0</v>
      </c>
      <c r="M7" s="26">
        <f>('TE BE'!$M$7+'TE BF'!$M$7+'TE CVA'!$M$7)*1</f>
        <v>0</v>
      </c>
      <c r="N7" s="26">
        <f>('TE BE'!$N$7+'TE BF'!$N$7+'TE CVA'!$N$7)*1</f>
        <v>0</v>
      </c>
      <c r="O7" s="26">
        <f>('TE BE'!$O$7+'TE BF'!$O$7+'TE CVA'!$O$7)*1</f>
        <v>0</v>
      </c>
      <c r="P7" s="26">
        <f>('TE BE'!$P$7+'TE BF'!$P$7+'TE CVA'!$P$7)*1</f>
        <v>0</v>
      </c>
      <c r="Q7" s="26">
        <f>('TE BE'!$R$7+'TE BF'!$R$7+'TE CVA'!$R$7)*1</f>
        <v>118.1262919971184</v>
      </c>
      <c r="R7" s="26">
        <f>('TE BE'!$T$7+'TE BF'!$T$7+'TE CVA'!$T$7)*1</f>
        <v>0</v>
      </c>
      <c r="S7" s="26">
        <f>('TE BE'!$U$7+'TE BF'!$U$7+'TE CVA'!$U$7)*1</f>
        <v>0</v>
      </c>
      <c r="T7" s="26">
        <f>('TE BE'!$V$7+'TE BF'!$V$7+'TE CVA'!$V$7)*1</f>
        <v>0</v>
      </c>
      <c r="U7" s="26">
        <f>('TE BE'!$X$7+'TE BF'!$X$7+'TE CVA'!$X$7)*1</f>
        <v>-1.6978144056940898</v>
      </c>
      <c r="V7" s="26">
        <f>('TE BE'!$Z$7+'TE BF'!$Z$7+'TE CVA'!$Z$7)*1</f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131.87026948770301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</row>
    <row r="8" spans="1:34" ht="11.25" customHeight="1" x14ac:dyDescent="0.25">
      <c r="A8" s="113" t="s">
        <v>22</v>
      </c>
      <c r="B8" s="113" t="s">
        <v>65</v>
      </c>
      <c r="C8" s="113" t="s">
        <v>24</v>
      </c>
      <c r="D8" s="113" t="s">
        <v>24</v>
      </c>
      <c r="E8" s="113" t="s">
        <v>25</v>
      </c>
      <c r="F8" s="113" t="s">
        <v>25</v>
      </c>
      <c r="G8" s="29" t="s">
        <v>67</v>
      </c>
      <c r="H8" s="29" t="s">
        <v>66</v>
      </c>
      <c r="I8" s="29">
        <f>'MERCADO TE'!$U$5</f>
        <v>0.22599999999999998</v>
      </c>
      <c r="J8" s="15"/>
      <c r="L8" s="26">
        <f>('TE BE'!$L$8+'TE BF'!$L$8+'TE CVA'!$L$8)*1</f>
        <v>0</v>
      </c>
      <c r="M8" s="26">
        <f>('TE BE'!$M$8+'TE BF'!$M$8+'TE CVA'!$M$8)*1</f>
        <v>0</v>
      </c>
      <c r="N8" s="26">
        <f>('TE BE'!$N$8+'TE BF'!$N$8+'TE CVA'!$N$8)*1</f>
        <v>0</v>
      </c>
      <c r="O8" s="26">
        <f>('TE BE'!$O$8+'TE BF'!$O$8+'TE CVA'!$O$8)*1</f>
        <v>0</v>
      </c>
      <c r="P8" s="26">
        <f>('TE BE'!$P$8+'TE BF'!$P$8+'TE CVA'!$P$8)*1</f>
        <v>0</v>
      </c>
      <c r="Q8" s="26">
        <f>('TE BE'!$R$8+'TE BF'!$R$8+'TE CVA'!$R$8)*1</f>
        <v>118.1262919971184</v>
      </c>
      <c r="R8" s="26">
        <f>('TE BE'!$T$8+'TE BF'!$T$8+'TE CVA'!$T$8)*1</f>
        <v>0</v>
      </c>
      <c r="S8" s="26">
        <f>('TE BE'!$U$8+'TE BF'!$U$8+'TE CVA'!$U$8)*1</f>
        <v>0</v>
      </c>
      <c r="T8" s="26">
        <f>('TE BE'!$V$8+'TE BF'!$V$8+'TE CVA'!$V$8)*1</f>
        <v>0</v>
      </c>
      <c r="U8" s="26">
        <f>('TE BE'!$X$8+'TE BF'!$X$8+'TE CVA'!$X$8)*1</f>
        <v>-1.6978144056940898</v>
      </c>
      <c r="V8" s="26">
        <f>('TE BE'!$Z$8+'TE BF'!$Z$8+'TE CVA'!$Z$8)*1</f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131.87026948770301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ht="11.25" customHeight="1" x14ac:dyDescent="0.25">
      <c r="A9" s="113"/>
      <c r="B9" s="113"/>
      <c r="C9" s="113"/>
      <c r="D9" s="113"/>
      <c r="E9" s="113"/>
      <c r="F9" s="113"/>
      <c r="G9" s="29" t="s">
        <v>80</v>
      </c>
      <c r="H9" s="29" t="s">
        <v>66</v>
      </c>
      <c r="I9" s="29">
        <f>'MERCADO TE'!$U$6</f>
        <v>0.29500000000000004</v>
      </c>
      <c r="J9" s="15"/>
      <c r="L9" s="26">
        <f>('TE BE'!$L$9+'TE BF'!$L$9+'TE CVA'!$L$9)*1</f>
        <v>0</v>
      </c>
      <c r="M9" s="26">
        <f>('TE BE'!$M$9+'TE BF'!$M$9+'TE CVA'!$M$9)*1</f>
        <v>0</v>
      </c>
      <c r="N9" s="26">
        <f>('TE BE'!$N$9+'TE BF'!$N$9+'TE CVA'!$N$9)*1</f>
        <v>0</v>
      </c>
      <c r="O9" s="26">
        <f>('TE BE'!$O$9+'TE BF'!$O$9+'TE CVA'!$O$9)*1</f>
        <v>0</v>
      </c>
      <c r="P9" s="26">
        <f>('TE BE'!$P$9+'TE BF'!$P$9+'TE CVA'!$P$9)*1</f>
        <v>0</v>
      </c>
      <c r="Q9" s="26">
        <f>('TE BE'!$R$9+'TE BF'!$R$9+'TE CVA'!$R$9)*1</f>
        <v>118.1262919971184</v>
      </c>
      <c r="R9" s="26">
        <f>('TE BE'!$T$9+'TE BF'!$T$9+'TE CVA'!$T$9)*1</f>
        <v>0</v>
      </c>
      <c r="S9" s="26">
        <f>('TE BE'!$U$9+'TE BF'!$U$9+'TE CVA'!$U$9)*1</f>
        <v>0</v>
      </c>
      <c r="T9" s="26">
        <f>('TE BE'!$V$9+'TE BF'!$V$9+'TE CVA'!$V$9)*1</f>
        <v>0</v>
      </c>
      <c r="U9" s="26">
        <f>('TE BE'!$X$9+'TE BF'!$X$9+'TE CVA'!$X$9)*1</f>
        <v>-1.6978144056940898</v>
      </c>
      <c r="V9" s="26">
        <f>('TE BE'!$Z$9+'TE BF'!$Z$9+'TE CVA'!$Z$9)*1</f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131.87026948770301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</row>
    <row r="10" spans="1:34" ht="11.25" customHeight="1" x14ac:dyDescent="0.25">
      <c r="A10" s="113"/>
      <c r="B10" s="113"/>
      <c r="C10" s="113"/>
      <c r="D10" s="113"/>
      <c r="E10" s="113"/>
      <c r="F10" s="113"/>
      <c r="G10" s="29" t="s">
        <v>68</v>
      </c>
      <c r="H10" s="29" t="s">
        <v>66</v>
      </c>
      <c r="I10" s="29">
        <f>'MERCADO TE'!$U$7</f>
        <v>2.2109999999999999</v>
      </c>
      <c r="J10" s="15"/>
      <c r="L10" s="26">
        <f>('TE BE'!$L$10+'TE BF'!$L$10+'TE CVA'!$L$10)*1</f>
        <v>0</v>
      </c>
      <c r="M10" s="26">
        <f>('TE BE'!$M$10+'TE BF'!$M$10+'TE CVA'!$M$10)*1</f>
        <v>0</v>
      </c>
      <c r="N10" s="26">
        <f>('TE BE'!$N$10+'TE BF'!$N$10+'TE CVA'!$N$10)*1</f>
        <v>0</v>
      </c>
      <c r="O10" s="26">
        <f>('TE BE'!$O$10+'TE BF'!$O$10+'TE CVA'!$O$10)*1</f>
        <v>0</v>
      </c>
      <c r="P10" s="26">
        <f>('TE BE'!$P$10+'TE BF'!$P$10+'TE CVA'!$P$10)*1</f>
        <v>0</v>
      </c>
      <c r="Q10" s="26">
        <f>('TE BE'!$R$10+'TE BF'!$R$10+'TE CVA'!$R$10)*1</f>
        <v>118.1262919971184</v>
      </c>
      <c r="R10" s="26">
        <f>('TE BE'!$T$10+'TE BF'!$T$10+'TE CVA'!$T$10)*1</f>
        <v>0</v>
      </c>
      <c r="S10" s="26">
        <f>('TE BE'!$U$10+'TE BF'!$U$10+'TE CVA'!$U$10)*1</f>
        <v>0</v>
      </c>
      <c r="T10" s="26">
        <f>('TE BE'!$V$10+'TE BF'!$V$10+'TE CVA'!$V$10)*1</f>
        <v>0</v>
      </c>
      <c r="U10" s="26">
        <f>('TE BE'!$X$10+'TE BF'!$X$10+'TE CVA'!$X$10)*1</f>
        <v>-1.6978144056940898</v>
      </c>
      <c r="V10" s="26">
        <f>('TE BE'!$Z$10+'TE BF'!$Z$10+'TE CVA'!$Z$10)*1</f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131.87026948770301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</row>
    <row r="11" spans="1:34" ht="11.25" customHeight="1" x14ac:dyDescent="0.25">
      <c r="A11" s="113"/>
      <c r="B11" s="113" t="s">
        <v>69</v>
      </c>
      <c r="C11" s="113" t="s">
        <v>24</v>
      </c>
      <c r="D11" s="28" t="s">
        <v>24</v>
      </c>
      <c r="E11" s="28" t="s">
        <v>25</v>
      </c>
      <c r="F11" s="28" t="s">
        <v>25</v>
      </c>
      <c r="G11" s="29" t="s">
        <v>70</v>
      </c>
      <c r="H11" s="29" t="s">
        <v>66</v>
      </c>
      <c r="I11" s="29">
        <f>'MERCADO TE'!$U$8</f>
        <v>11826.234</v>
      </c>
      <c r="J11" s="15"/>
      <c r="L11" s="26">
        <f>('TE BE'!$L$11+'TE BF'!$L$11+'TE CVA'!$L$11)*1</f>
        <v>0</v>
      </c>
      <c r="M11" s="26">
        <f>('TE BE'!$M$11+'TE BF'!$M$11+'TE CVA'!$M$11)*1</f>
        <v>0</v>
      </c>
      <c r="N11" s="26">
        <f>('TE BE'!$N$11+'TE BF'!$N$11+'TE CVA'!$N$11)*1</f>
        <v>0</v>
      </c>
      <c r="O11" s="26">
        <f>('TE BE'!$O$11+'TE BF'!$O$11+'TE CVA'!$O$11)*1</f>
        <v>0</v>
      </c>
      <c r="P11" s="26">
        <f>('TE BE'!$P$11+'TE BF'!$P$11+'TE CVA'!$P$11)*1</f>
        <v>0</v>
      </c>
      <c r="Q11" s="26">
        <f>('TE BE'!$R$11+'TE BF'!$R$11+'TE CVA'!$R$11)*1</f>
        <v>118.1262919971184</v>
      </c>
      <c r="R11" s="26">
        <f>('TE BE'!$T$11+'TE BF'!$T$11+'TE CVA'!$T$11)*1</f>
        <v>0</v>
      </c>
      <c r="S11" s="26">
        <f>('TE BE'!$U$11+'TE BF'!$U$11+'TE CVA'!$U$11)*1</f>
        <v>0</v>
      </c>
      <c r="T11" s="26">
        <f>('TE BE'!$V$11+'TE BF'!$V$11+'TE CVA'!$V$11)*1</f>
        <v>0</v>
      </c>
      <c r="U11" s="26">
        <f>('TE BE'!$X$11+'TE BF'!$X$11+'TE CVA'!$X$11)*1</f>
        <v>-1.6978144056940898</v>
      </c>
      <c r="V11" s="26">
        <f>('TE BE'!$Z$11+'TE BF'!$Z$11+'TE CVA'!$Z$11)*1</f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131.87026948770301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</row>
    <row r="12" spans="1:34" ht="11.25" customHeight="1" x14ac:dyDescent="0.25">
      <c r="A12" s="113"/>
      <c r="B12" s="113"/>
      <c r="C12" s="113"/>
      <c r="D12" s="28" t="s">
        <v>29</v>
      </c>
      <c r="E12" s="28" t="s">
        <v>25</v>
      </c>
      <c r="F12" s="28" t="s">
        <v>25</v>
      </c>
      <c r="G12" s="29" t="s">
        <v>70</v>
      </c>
      <c r="H12" s="29" t="s">
        <v>66</v>
      </c>
      <c r="I12" s="29">
        <f>'MERCADO TE'!$U$9</f>
        <v>111.53999999999999</v>
      </c>
      <c r="J12" s="15"/>
      <c r="L12" s="26">
        <f>('TE BE'!$L$12+'TE BF'!$L$12+'TE CVA'!$L$12)*(1 - 0.65)</f>
        <v>0</v>
      </c>
      <c r="M12" s="26">
        <f>('TE BE'!$M$12+'TE BF'!$M$12+'TE CVA'!$M$12)*(1 - 0.65)</f>
        <v>0</v>
      </c>
      <c r="N12" s="26">
        <f>('TE BE'!$N$12+'TE BF'!$N$12+'TE CVA'!$N$12)*(1 - 0.65)</f>
        <v>0</v>
      </c>
      <c r="O12" s="26">
        <f>('TE BE'!$O$12+'TE BF'!$O$12+'TE CVA'!$O$12)*(1 - 0.65)</f>
        <v>0</v>
      </c>
      <c r="P12" s="26">
        <f>('TE BE'!$P$12+'TE BF'!$P$12+'TE CVA'!$P$12)*(1 - 0.65)</f>
        <v>0</v>
      </c>
      <c r="Q12" s="26">
        <f>('TE BE'!$R$12+'TE BF'!$R$12+'TE CVA'!$R$12)*(1 - 0.65)</f>
        <v>41.344202198991439</v>
      </c>
      <c r="R12" s="26">
        <f>('TE BE'!$T$12+'TE BF'!$T$12+'TE CVA'!$T$12)*(1 - 0.65)</f>
        <v>0</v>
      </c>
      <c r="S12" s="26">
        <f>('TE BE'!$U$12+'TE BF'!$U$12+'TE CVA'!$U$12)*(1 - 0.65)</f>
        <v>0</v>
      </c>
      <c r="T12" s="26">
        <f>('TE BE'!$V$12+'TE BF'!$V$12+'TE CVA'!$V$12)*(1 - 0.65)</f>
        <v>0</v>
      </c>
      <c r="U12" s="26">
        <f>('TE BE'!$X$12+'TE BF'!$X$12+'TE CVA'!$X$12)*(1 - 0.65)</f>
        <v>-0.59423504199293142</v>
      </c>
      <c r="V12" s="26">
        <f>('TE BE'!$Z$12+'TE BF'!$Z$12+'TE CVA'!$Z$12)*(1 - 0.65)</f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46.154594320696098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</row>
    <row r="13" spans="1:34" ht="11.25" customHeight="1" x14ac:dyDescent="0.25">
      <c r="A13" s="113"/>
      <c r="B13" s="113"/>
      <c r="C13" s="113"/>
      <c r="D13" s="28" t="s">
        <v>30</v>
      </c>
      <c r="E13" s="28" t="s">
        <v>25</v>
      </c>
      <c r="F13" s="28" t="s">
        <v>25</v>
      </c>
      <c r="G13" s="29" t="s">
        <v>70</v>
      </c>
      <c r="H13" s="29" t="s">
        <v>66</v>
      </c>
      <c r="I13" s="29">
        <f>'MERCADO TE'!$U$10</f>
        <v>220.67500000000001</v>
      </c>
      <c r="J13" s="15"/>
      <c r="L13" s="26">
        <f>('TE BE'!$L$13+'TE BF'!$L$13+'TE CVA'!$L$13)*(1 - 0.4)</f>
        <v>0</v>
      </c>
      <c r="M13" s="26">
        <f>('TE BE'!$M$13+'TE BF'!$M$13+'TE CVA'!$M$13)*(1 - 0.4)</f>
        <v>0</v>
      </c>
      <c r="N13" s="26">
        <f>('TE BE'!$N$13+'TE BF'!$N$13+'TE CVA'!$N$13)*(1 - 0.4)</f>
        <v>0</v>
      </c>
      <c r="O13" s="26">
        <f>('TE BE'!$O$13+'TE BF'!$O$13+'TE CVA'!$O$13)*(1 - 0.4)</f>
        <v>0</v>
      </c>
      <c r="P13" s="26">
        <f>('TE BE'!$P$13+'TE BF'!$P$13+'TE CVA'!$P$13)*(1 - 0.4)</f>
        <v>0</v>
      </c>
      <c r="Q13" s="26">
        <f>('TE BE'!$R$13+'TE BF'!$R$13+'TE CVA'!$R$13)*(1 - 0.4)</f>
        <v>70.875775198271043</v>
      </c>
      <c r="R13" s="26">
        <f>('TE BE'!$T$13+'TE BF'!$T$13+'TE CVA'!$T$13)*(1 - 0.4)</f>
        <v>0</v>
      </c>
      <c r="S13" s="26">
        <f>('TE BE'!$U$13+'TE BF'!$U$13+'TE CVA'!$U$13)*(1 - 0.4)</f>
        <v>0</v>
      </c>
      <c r="T13" s="26">
        <f>('TE BE'!$V$13+'TE BF'!$V$13+'TE CVA'!$V$13)*(1 - 0.4)</f>
        <v>0</v>
      </c>
      <c r="U13" s="26">
        <f>('TE BE'!$X$13+'TE BF'!$X$13+'TE CVA'!$X$13)*(1 - 0.4)</f>
        <v>-1.0186886434164539</v>
      </c>
      <c r="V13" s="26">
        <f>('TE BE'!$Z$13+'TE BF'!$Z$13+'TE CVA'!$Z$13)*(1 - 0.4)</f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79.122161692621802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</row>
    <row r="14" spans="1:34" ht="11.25" customHeight="1" x14ac:dyDescent="0.25">
      <c r="A14" s="113"/>
      <c r="B14" s="113"/>
      <c r="C14" s="113"/>
      <c r="D14" s="28" t="s">
        <v>31</v>
      </c>
      <c r="E14" s="28" t="s">
        <v>25</v>
      </c>
      <c r="F14" s="28" t="s">
        <v>25</v>
      </c>
      <c r="G14" s="29" t="s">
        <v>70</v>
      </c>
      <c r="H14" s="29" t="s">
        <v>66</v>
      </c>
      <c r="I14" s="29">
        <f>'MERCADO TE'!$U$11</f>
        <v>205.22700000000003</v>
      </c>
      <c r="J14" s="15"/>
      <c r="L14" s="26">
        <f>('TE BE'!$L$14+'TE BF'!$L$14+'TE CVA'!$L$14)*(1 - 0.1)</f>
        <v>0</v>
      </c>
      <c r="M14" s="26">
        <f>('TE BE'!$M$14+'TE BF'!$M$14+'TE CVA'!$M$14)*(1 - 0.1)</f>
        <v>0</v>
      </c>
      <c r="N14" s="26">
        <f>('TE BE'!$N$14+'TE BF'!$N$14+'TE CVA'!$N$14)*(1 - 0.1)</f>
        <v>0</v>
      </c>
      <c r="O14" s="26">
        <f>('TE BE'!$O$14+'TE BF'!$O$14+'TE CVA'!$O$14)*(1 - 0.1)</f>
        <v>0</v>
      </c>
      <c r="P14" s="26">
        <f>('TE BE'!$P$14+'TE BF'!$P$14+'TE CVA'!$P$14)*(1 - 0.1)</f>
        <v>0</v>
      </c>
      <c r="Q14" s="26">
        <f>('TE BE'!$R$14+'TE BF'!$R$14+'TE CVA'!$R$14)*(1 - 0.1)</f>
        <v>106.31366279740656</v>
      </c>
      <c r="R14" s="26">
        <f>('TE BE'!$T$14+'TE BF'!$T$14+'TE CVA'!$T$14)*(1 - 0.1)</f>
        <v>0</v>
      </c>
      <c r="S14" s="26">
        <f>('TE BE'!$U$14+'TE BF'!$U$14+'TE CVA'!$U$14)*(1 - 0.1)</f>
        <v>0</v>
      </c>
      <c r="T14" s="26">
        <f>('TE BE'!$V$14+'TE BF'!$V$14+'TE CVA'!$V$14)*(1 - 0.1)</f>
        <v>0</v>
      </c>
      <c r="U14" s="26">
        <f>('TE BE'!$X$14+'TE BF'!$X$14+'TE CVA'!$X$14)*(1 - 0.1)</f>
        <v>-1.5280329651246809</v>
      </c>
      <c r="V14" s="26">
        <f>('TE BE'!$Z$14+'TE BF'!$Z$14+'TE CVA'!$Z$14)*(1 - 0.1)</f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118.683242538933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</row>
    <row r="15" spans="1:34" ht="11.25" customHeight="1" x14ac:dyDescent="0.25">
      <c r="A15" s="113"/>
      <c r="B15" s="113"/>
      <c r="C15" s="113"/>
      <c r="D15" s="28" t="s">
        <v>32</v>
      </c>
      <c r="E15" s="28" t="s">
        <v>25</v>
      </c>
      <c r="F15" s="28" t="s">
        <v>25</v>
      </c>
      <c r="G15" s="29" t="s">
        <v>70</v>
      </c>
      <c r="H15" s="29" t="s">
        <v>66</v>
      </c>
      <c r="I15" s="29">
        <f>'MERCADO TE'!$U$12</f>
        <v>75.31</v>
      </c>
      <c r="J15" s="15"/>
      <c r="L15" s="26">
        <f>('TE BE'!$L$15+'TE BF'!$L$15+'TE CVA'!$L$15)*1</f>
        <v>0</v>
      </c>
      <c r="M15" s="26">
        <f>('TE BE'!$M$15+'TE BF'!$M$15+'TE CVA'!$M$15)*1</f>
        <v>0</v>
      </c>
      <c r="N15" s="26">
        <f>('TE BE'!$N$15+'TE BF'!$N$15+'TE CVA'!$N$15)*1</f>
        <v>0</v>
      </c>
      <c r="O15" s="26">
        <f>('TE BE'!$O$15+'TE BF'!$O$15+'TE CVA'!$O$15)*1</f>
        <v>0</v>
      </c>
      <c r="P15" s="26">
        <f>('TE BE'!$P$15+'TE BF'!$P$15+'TE CVA'!$P$15)*1</f>
        <v>0</v>
      </c>
      <c r="Q15" s="26">
        <f>('TE BE'!$R$15+'TE BF'!$R$15+'TE CVA'!$R$15)*1</f>
        <v>118.1262919971184</v>
      </c>
      <c r="R15" s="26">
        <f>('TE BE'!$T$15+'TE BF'!$T$15+'TE CVA'!$T$15)*1</f>
        <v>0</v>
      </c>
      <c r="S15" s="26">
        <f>('TE BE'!$U$15+'TE BF'!$U$15+'TE CVA'!$U$15)*1</f>
        <v>0</v>
      </c>
      <c r="T15" s="26">
        <f>('TE BE'!$V$15+'TE BF'!$V$15+'TE CVA'!$V$15)*1</f>
        <v>0</v>
      </c>
      <c r="U15" s="26">
        <f>('TE BE'!$X$15+'TE BF'!$X$15+'TE CVA'!$X$15)*1</f>
        <v>-1.6978144056940898</v>
      </c>
      <c r="V15" s="26">
        <f>('TE BE'!$Z$15+'TE BF'!$Z$15+'TE CVA'!$Z$15)*1</f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131.87026948770301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</row>
    <row r="16" spans="1:34" ht="11.25" customHeight="1" x14ac:dyDescent="0.25">
      <c r="A16" s="113"/>
      <c r="B16" s="113" t="s">
        <v>81</v>
      </c>
      <c r="C16" s="113" t="s">
        <v>24</v>
      </c>
      <c r="D16" s="28" t="s">
        <v>24</v>
      </c>
      <c r="E16" s="28" t="s">
        <v>25</v>
      </c>
      <c r="F16" s="28" t="s">
        <v>25</v>
      </c>
      <c r="G16" s="29" t="s">
        <v>70</v>
      </c>
      <c r="H16" s="29" t="s">
        <v>66</v>
      </c>
      <c r="I16" s="29">
        <f>'MERCADO TE'!$U$13</f>
        <v>0</v>
      </c>
      <c r="J16" s="15"/>
      <c r="L16" s="26">
        <f>('TE BE'!$L$16+'TE BF'!$L$16+'TE CVA'!$L$16)*1</f>
        <v>0</v>
      </c>
      <c r="M16" s="26">
        <f>('TE BE'!$M$16+'TE BF'!$M$16+'TE CVA'!$M$16)*1</f>
        <v>0</v>
      </c>
      <c r="N16" s="26">
        <f>('TE BE'!$N$16+'TE BF'!$N$16+'TE CVA'!$N$16)*1</f>
        <v>0</v>
      </c>
      <c r="O16" s="26">
        <f>('TE BE'!$O$16+'TE BF'!$O$16+'TE CVA'!$O$16)*1</f>
        <v>0</v>
      </c>
      <c r="P16" s="26">
        <f>('TE BE'!$P$16+'TE BF'!$P$16+'TE CVA'!$P$16)*1</f>
        <v>0</v>
      </c>
      <c r="Q16" s="26">
        <f>('TE BE'!$R$16+'TE BF'!$R$16+'TE CVA'!$R$16)*1</f>
        <v>118.1262919971184</v>
      </c>
      <c r="R16" s="26">
        <f>('TE BE'!$T$16+'TE BF'!$T$16+'TE CVA'!$T$16)*1</f>
        <v>0</v>
      </c>
      <c r="S16" s="26">
        <f>('TE BE'!$U$16+'TE BF'!$U$16+'TE CVA'!$U$16)*1</f>
        <v>0</v>
      </c>
      <c r="T16" s="26">
        <f>('TE BE'!$V$16+'TE BF'!$V$16+'TE CVA'!$V$16)*1</f>
        <v>0</v>
      </c>
      <c r="U16" s="26">
        <f>('TE BE'!$X$16+'TE BF'!$X$16+'TE CVA'!$X$16)*1</f>
        <v>-1.6978144056940898</v>
      </c>
      <c r="V16" s="26">
        <f>('TE BE'!$Z$16+'TE BF'!$Z$16+'TE CVA'!$Z$16)*1</f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131.87026948770301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</row>
    <row r="17" spans="1:34" ht="11.25" customHeight="1" x14ac:dyDescent="0.25">
      <c r="A17" s="113"/>
      <c r="B17" s="113"/>
      <c r="C17" s="113"/>
      <c r="D17" s="28" t="s">
        <v>29</v>
      </c>
      <c r="E17" s="28" t="s">
        <v>25</v>
      </c>
      <c r="F17" s="28" t="s">
        <v>25</v>
      </c>
      <c r="G17" s="29" t="s">
        <v>70</v>
      </c>
      <c r="H17" s="29" t="s">
        <v>66</v>
      </c>
      <c r="I17" s="29">
        <f>'MERCADO TE'!$U$14</f>
        <v>0</v>
      </c>
      <c r="J17" s="15"/>
      <c r="L17" s="26">
        <f>('TE BE'!$L$17+'TE BF'!$L$17+'TE CVA'!$L$17)*(1 - 0.65)</f>
        <v>0</v>
      </c>
      <c r="M17" s="26">
        <f>('TE BE'!$M$17+'TE BF'!$M$17+'TE CVA'!$M$17)*(1 - 0.65)</f>
        <v>0</v>
      </c>
      <c r="N17" s="26">
        <f>('TE BE'!$N$17+'TE BF'!$N$17+'TE CVA'!$N$17)*(1 - 0.65)</f>
        <v>0</v>
      </c>
      <c r="O17" s="26">
        <f>('TE BE'!$O$17+'TE BF'!$O$17+'TE CVA'!$O$17)*(1 - 0.65)</f>
        <v>0</v>
      </c>
      <c r="P17" s="26">
        <f>('TE BE'!$P$17+'TE BF'!$P$17+'TE CVA'!$P$17)*(1 - 0.65)</f>
        <v>0</v>
      </c>
      <c r="Q17" s="26">
        <f>('TE BE'!$R$17+'TE BF'!$R$17+'TE CVA'!$R$17)*(1 - 0.65)</f>
        <v>41.344202198991439</v>
      </c>
      <c r="R17" s="26">
        <f>('TE BE'!$T$17+'TE BF'!$T$17+'TE CVA'!$T$17)*(1 - 0.65)</f>
        <v>0</v>
      </c>
      <c r="S17" s="26">
        <f>('TE BE'!$U$17+'TE BF'!$U$17+'TE CVA'!$U$17)*(1 - 0.65)</f>
        <v>0</v>
      </c>
      <c r="T17" s="26">
        <f>('TE BE'!$V$17+'TE BF'!$V$17+'TE CVA'!$V$17)*(1 - 0.65)</f>
        <v>0</v>
      </c>
      <c r="U17" s="26">
        <f>('TE BE'!$X$17+'TE BF'!$X$17+'TE CVA'!$X$17)*(1 - 0.65)</f>
        <v>-0.59423504199293142</v>
      </c>
      <c r="V17" s="26">
        <f>('TE BE'!$Z$17+'TE BF'!$Z$17+'TE CVA'!$Z$17)*(1 - 0.65)</f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46.154594320696098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</row>
    <row r="18" spans="1:34" ht="11.25" customHeight="1" x14ac:dyDescent="0.25">
      <c r="A18" s="113"/>
      <c r="B18" s="113"/>
      <c r="C18" s="113"/>
      <c r="D18" s="28" t="s">
        <v>30</v>
      </c>
      <c r="E18" s="28" t="s">
        <v>25</v>
      </c>
      <c r="F18" s="28" t="s">
        <v>25</v>
      </c>
      <c r="G18" s="29" t="s">
        <v>70</v>
      </c>
      <c r="H18" s="29" t="s">
        <v>66</v>
      </c>
      <c r="I18" s="29">
        <f>'MERCADO TE'!$U$15</f>
        <v>0</v>
      </c>
      <c r="J18" s="15"/>
      <c r="L18" s="26">
        <f>('TE BE'!$L$18+'TE BF'!$L$18+'TE CVA'!$L$18)*(1 - 0.4)</f>
        <v>0</v>
      </c>
      <c r="M18" s="26">
        <f>('TE BE'!$M$18+'TE BF'!$M$18+'TE CVA'!$M$18)*(1 - 0.4)</f>
        <v>0</v>
      </c>
      <c r="N18" s="26">
        <f>('TE BE'!$N$18+'TE BF'!$N$18+'TE CVA'!$N$18)*(1 - 0.4)</f>
        <v>0</v>
      </c>
      <c r="O18" s="26">
        <f>('TE BE'!$O$18+'TE BF'!$O$18+'TE CVA'!$O$18)*(1 - 0.4)</f>
        <v>0</v>
      </c>
      <c r="P18" s="26">
        <f>('TE BE'!$P$18+'TE BF'!$P$18+'TE CVA'!$P$18)*(1 - 0.4)</f>
        <v>0</v>
      </c>
      <c r="Q18" s="26">
        <f>('TE BE'!$R$18+'TE BF'!$R$18+'TE CVA'!$R$18)*(1 - 0.4)</f>
        <v>70.875775198271043</v>
      </c>
      <c r="R18" s="26">
        <f>('TE BE'!$T$18+'TE BF'!$T$18+'TE CVA'!$T$18)*(1 - 0.4)</f>
        <v>0</v>
      </c>
      <c r="S18" s="26">
        <f>('TE BE'!$U$18+'TE BF'!$U$18+'TE CVA'!$U$18)*(1 - 0.4)</f>
        <v>0</v>
      </c>
      <c r="T18" s="26">
        <f>('TE BE'!$V$18+'TE BF'!$V$18+'TE CVA'!$V$18)*(1 - 0.4)</f>
        <v>0</v>
      </c>
      <c r="U18" s="26">
        <f>('TE BE'!$X$18+'TE BF'!$X$18+'TE CVA'!$X$18)*(1 - 0.4)</f>
        <v>-1.0186886434164539</v>
      </c>
      <c r="V18" s="26">
        <f>('TE BE'!$Z$18+'TE BF'!$Z$18+'TE CVA'!$Z$18)*(1 - 0.4)</f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79.122161692621802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</row>
    <row r="19" spans="1:34" ht="11.25" customHeight="1" x14ac:dyDescent="0.25">
      <c r="A19" s="113"/>
      <c r="B19" s="113"/>
      <c r="C19" s="113"/>
      <c r="D19" s="28" t="s">
        <v>31</v>
      </c>
      <c r="E19" s="28" t="s">
        <v>25</v>
      </c>
      <c r="F19" s="28" t="s">
        <v>25</v>
      </c>
      <c r="G19" s="29" t="s">
        <v>70</v>
      </c>
      <c r="H19" s="29" t="s">
        <v>66</v>
      </c>
      <c r="I19" s="29">
        <f>'MERCADO TE'!$U$16</f>
        <v>0</v>
      </c>
      <c r="J19" s="15"/>
      <c r="L19" s="26">
        <f>('TE BE'!$L$19+'TE BF'!$L$19+'TE CVA'!$L$19)*(1 - 0.1)</f>
        <v>0</v>
      </c>
      <c r="M19" s="26">
        <f>('TE BE'!$M$19+'TE BF'!$M$19+'TE CVA'!$M$19)*(1 - 0.1)</f>
        <v>0</v>
      </c>
      <c r="N19" s="26">
        <f>('TE BE'!$N$19+'TE BF'!$N$19+'TE CVA'!$N$19)*(1 - 0.1)</f>
        <v>0</v>
      </c>
      <c r="O19" s="26">
        <f>('TE BE'!$O$19+'TE BF'!$O$19+'TE CVA'!$O$19)*(1 - 0.1)</f>
        <v>0</v>
      </c>
      <c r="P19" s="26">
        <f>('TE BE'!$P$19+'TE BF'!$P$19+'TE CVA'!$P$19)*(1 - 0.1)</f>
        <v>0</v>
      </c>
      <c r="Q19" s="26">
        <f>('TE BE'!$R$19+'TE BF'!$R$19+'TE CVA'!$R$19)*(1 - 0.1)</f>
        <v>106.31366279740656</v>
      </c>
      <c r="R19" s="26">
        <f>('TE BE'!$T$19+'TE BF'!$T$19+'TE CVA'!$T$19)*(1 - 0.1)</f>
        <v>0</v>
      </c>
      <c r="S19" s="26">
        <f>('TE BE'!$U$19+'TE BF'!$U$19+'TE CVA'!$U$19)*(1 - 0.1)</f>
        <v>0</v>
      </c>
      <c r="T19" s="26">
        <f>('TE BE'!$V$19+'TE BF'!$V$19+'TE CVA'!$V$19)*(1 - 0.1)</f>
        <v>0</v>
      </c>
      <c r="U19" s="26">
        <f>('TE BE'!$X$19+'TE BF'!$X$19+'TE CVA'!$X$19)*(1 - 0.1)</f>
        <v>-1.5280329651246809</v>
      </c>
      <c r="V19" s="26">
        <f>('TE BE'!$Z$19+'TE BF'!$Z$19+'TE CVA'!$Z$19)*(1 - 0.1)</f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118.683242538933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</row>
    <row r="20" spans="1:34" ht="11.25" customHeight="1" x14ac:dyDescent="0.25">
      <c r="A20" s="113"/>
      <c r="B20" s="113"/>
      <c r="C20" s="113"/>
      <c r="D20" s="28" t="s">
        <v>32</v>
      </c>
      <c r="E20" s="28" t="s">
        <v>25</v>
      </c>
      <c r="F20" s="28" t="s">
        <v>25</v>
      </c>
      <c r="G20" s="29" t="s">
        <v>70</v>
      </c>
      <c r="H20" s="29" t="s">
        <v>66</v>
      </c>
      <c r="I20" s="29">
        <f>'MERCADO TE'!$U$17</f>
        <v>0</v>
      </c>
      <c r="J20" s="15"/>
      <c r="L20" s="26">
        <f>('TE BE'!$L$20+'TE BF'!$L$20+'TE CVA'!$L$20)*1</f>
        <v>0</v>
      </c>
      <c r="M20" s="26">
        <f>('TE BE'!$M$20+'TE BF'!$M$20+'TE CVA'!$M$20)*1</f>
        <v>0</v>
      </c>
      <c r="N20" s="26">
        <f>('TE BE'!$N$20+'TE BF'!$N$20+'TE CVA'!$N$20)*1</f>
        <v>0</v>
      </c>
      <c r="O20" s="26">
        <f>('TE BE'!$O$20+'TE BF'!$O$20+'TE CVA'!$O$20)*1</f>
        <v>0</v>
      </c>
      <c r="P20" s="26">
        <f>('TE BE'!$P$20+'TE BF'!$P$20+'TE CVA'!$P$20)*1</f>
        <v>0</v>
      </c>
      <c r="Q20" s="26">
        <f>('TE BE'!$R$20+'TE BF'!$R$20+'TE CVA'!$R$20)*1</f>
        <v>118.1262919971184</v>
      </c>
      <c r="R20" s="26">
        <f>('TE BE'!$T$20+'TE BF'!$T$20+'TE CVA'!$T$20)*1</f>
        <v>0</v>
      </c>
      <c r="S20" s="26">
        <f>('TE BE'!$U$20+'TE BF'!$U$20+'TE CVA'!$U$20)*1</f>
        <v>0</v>
      </c>
      <c r="T20" s="26">
        <f>('TE BE'!$V$20+'TE BF'!$V$20+'TE CVA'!$V$20)*1</f>
        <v>0</v>
      </c>
      <c r="U20" s="26">
        <f>('TE BE'!$X$20+'TE BF'!$X$20+'TE CVA'!$X$20)*1</f>
        <v>-1.6978144056940898</v>
      </c>
      <c r="V20" s="26">
        <f>('TE BE'!$Z$20+'TE BF'!$Z$20+'TE CVA'!$Z$20)*1</f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131.87026948770301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11.25" customHeight="1" x14ac:dyDescent="0.25">
      <c r="A21" s="113" t="s">
        <v>41</v>
      </c>
      <c r="B21" s="113" t="s">
        <v>65</v>
      </c>
      <c r="C21" s="113" t="s">
        <v>42</v>
      </c>
      <c r="D21" s="113" t="s">
        <v>25</v>
      </c>
      <c r="E21" s="113" t="s">
        <v>25</v>
      </c>
      <c r="F21" s="113" t="s">
        <v>25</v>
      </c>
      <c r="G21" s="29" t="s">
        <v>67</v>
      </c>
      <c r="H21" s="29" t="s">
        <v>66</v>
      </c>
      <c r="I21" s="29">
        <f>'MERCADO TE'!$U$18</f>
        <v>0</v>
      </c>
      <c r="J21" s="15"/>
      <c r="L21" s="26">
        <f>('TE BE'!$L$21+'TE BF'!$L$21+'TE CVA'!$L$21)*(1 - CUSTOS!$M$38)</f>
        <v>0</v>
      </c>
      <c r="M21" s="26">
        <f>('TE BE'!$M$21+'TE BF'!$M$21+'TE CVA'!$M$21)*(1 - CUSTOS!$M$38)</f>
        <v>0</v>
      </c>
      <c r="N21" s="26">
        <f>('TE BE'!$N$21+'TE BF'!$N$21+'TE CVA'!$N$21)*(1 - CUSTOS!$M$38)</f>
        <v>0</v>
      </c>
      <c r="O21" s="26">
        <f>('TE BE'!$O$21+'TE BF'!$O$21+'TE CVA'!$O$21)*(1 - CUSTOS!$M$38)</f>
        <v>0</v>
      </c>
      <c r="P21" s="26">
        <f>('TE BE'!$P$21+'TE BF'!$P$21+'TE CVA'!$P$21)*(1 - CUSTOS!$M$38)</f>
        <v>0</v>
      </c>
      <c r="Q21" s="26">
        <f>('TE BE'!$R$21+'TE BF'!$R$21+'TE CVA'!$R$21)*(1 - CUSTOS!$M$38)</f>
        <v>111.03871447729129</v>
      </c>
      <c r="R21" s="26">
        <f>('TE BE'!$T$21+'TE BF'!$T$21+'TE CVA'!$T$21)*(1 - CUSTOS!$M$38)</f>
        <v>0</v>
      </c>
      <c r="S21" s="26">
        <f>('TE BE'!$U$21+'TE BF'!$U$21+'TE CVA'!$U$21)*(1 - CUSTOS!$M$38)</f>
        <v>0</v>
      </c>
      <c r="T21" s="26">
        <f>('TE BE'!$V$21+'TE BF'!$V$21+'TE CVA'!$V$21)*(1 - CUSTOS!$M$38)</f>
        <v>0</v>
      </c>
      <c r="U21" s="26">
        <f>('TE BE'!$X$21+'TE BF'!$X$21+'TE CVA'!$X$21)*(1 - CUSTOS!$M$38)</f>
        <v>-1.5959455413524444</v>
      </c>
      <c r="V21" s="26">
        <f>('TE BE'!$Z$21+'TE BF'!$Z$21+'TE CVA'!$Z$21)*(1 - CUSTOS!$M$38)</f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116.04583714917899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</row>
    <row r="22" spans="1:34" ht="11.25" customHeight="1" x14ac:dyDescent="0.25">
      <c r="A22" s="113"/>
      <c r="B22" s="113"/>
      <c r="C22" s="113"/>
      <c r="D22" s="113"/>
      <c r="E22" s="113"/>
      <c r="F22" s="113"/>
      <c r="G22" s="29" t="s">
        <v>80</v>
      </c>
      <c r="H22" s="29" t="s">
        <v>66</v>
      </c>
      <c r="I22" s="29">
        <f>'MERCADO TE'!$U$19</f>
        <v>0</v>
      </c>
      <c r="J22" s="15"/>
      <c r="L22" s="26">
        <f>('TE BE'!$L$22+'TE BF'!$L$22+'TE CVA'!$L$22)*(1 - CUSTOS!$M$38)</f>
        <v>0</v>
      </c>
      <c r="M22" s="26">
        <f>('TE BE'!$M$22+'TE BF'!$M$22+'TE CVA'!$M$22)*(1 - CUSTOS!$M$38)</f>
        <v>0</v>
      </c>
      <c r="N22" s="26">
        <f>('TE BE'!$N$22+'TE BF'!$N$22+'TE CVA'!$N$22)*(1 - CUSTOS!$M$38)</f>
        <v>0</v>
      </c>
      <c r="O22" s="26">
        <f>('TE BE'!$O$22+'TE BF'!$O$22+'TE CVA'!$O$22)*(1 - CUSTOS!$M$38)</f>
        <v>0</v>
      </c>
      <c r="P22" s="26">
        <f>('TE BE'!$P$22+'TE BF'!$P$22+'TE CVA'!$P$22)*(1 - CUSTOS!$M$38)</f>
        <v>0</v>
      </c>
      <c r="Q22" s="26">
        <f>('TE BE'!$R$22+'TE BF'!$R$22+'TE CVA'!$R$22)*(1 - CUSTOS!$M$38)</f>
        <v>111.03871447729129</v>
      </c>
      <c r="R22" s="26">
        <f>('TE BE'!$T$22+'TE BF'!$T$22+'TE CVA'!$T$22)*(1 - CUSTOS!$M$38)</f>
        <v>0</v>
      </c>
      <c r="S22" s="26">
        <f>('TE BE'!$U$22+'TE BF'!$U$22+'TE CVA'!$U$22)*(1 - CUSTOS!$M$38)</f>
        <v>0</v>
      </c>
      <c r="T22" s="26">
        <f>('TE BE'!$V$22+'TE BF'!$V$22+'TE CVA'!$V$22)*(1 - CUSTOS!$M$38)</f>
        <v>0</v>
      </c>
      <c r="U22" s="26">
        <f>('TE BE'!$X$22+'TE BF'!$X$22+'TE CVA'!$X$22)*(1 - CUSTOS!$M$38)</f>
        <v>-1.5959455413524444</v>
      </c>
      <c r="V22" s="26">
        <f>('TE BE'!$Z$22+'TE BF'!$Z$22+'TE CVA'!$Z$22)*(1 - CUSTOS!$M$38)</f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116.04583714917899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11.25" customHeight="1" x14ac:dyDescent="0.25">
      <c r="A23" s="113"/>
      <c r="B23" s="113"/>
      <c r="C23" s="113"/>
      <c r="D23" s="113"/>
      <c r="E23" s="113"/>
      <c r="F23" s="113"/>
      <c r="G23" s="29" t="s">
        <v>68</v>
      </c>
      <c r="H23" s="29" t="s">
        <v>66</v>
      </c>
      <c r="I23" s="29">
        <f>'MERCADO TE'!$U$20</f>
        <v>0</v>
      </c>
      <c r="J23" s="15"/>
      <c r="L23" s="26">
        <f>('TE BE'!$L$23+'TE BF'!$L$23+'TE CVA'!$L$23)*(1 - CUSTOS!$M$38)</f>
        <v>0</v>
      </c>
      <c r="M23" s="26">
        <f>('TE BE'!$M$23+'TE BF'!$M$23+'TE CVA'!$M$23)*(1 - CUSTOS!$M$38)</f>
        <v>0</v>
      </c>
      <c r="N23" s="26">
        <f>('TE BE'!$N$23+'TE BF'!$N$23+'TE CVA'!$N$23)*(1 - CUSTOS!$M$38)</f>
        <v>0</v>
      </c>
      <c r="O23" s="26">
        <f>('TE BE'!$O$23+'TE BF'!$O$23+'TE CVA'!$O$23)*(1 - CUSTOS!$M$38)</f>
        <v>0</v>
      </c>
      <c r="P23" s="26">
        <f>('TE BE'!$P$23+'TE BF'!$P$23+'TE CVA'!$P$23)*(1 - CUSTOS!$M$38)</f>
        <v>0</v>
      </c>
      <c r="Q23" s="26">
        <f>('TE BE'!$R$23+'TE BF'!$R$23+'TE CVA'!$R$23)*(1 - CUSTOS!$M$38)</f>
        <v>111.03871447729129</v>
      </c>
      <c r="R23" s="26">
        <f>('TE BE'!$T$23+'TE BF'!$T$23+'TE CVA'!$T$23)*(1 - CUSTOS!$M$38)</f>
        <v>0</v>
      </c>
      <c r="S23" s="26">
        <f>('TE BE'!$U$23+'TE BF'!$U$23+'TE CVA'!$U$23)*(1 - CUSTOS!$M$38)</f>
        <v>0</v>
      </c>
      <c r="T23" s="26">
        <f>('TE BE'!$V$23+'TE BF'!$V$23+'TE CVA'!$V$23)*(1 - CUSTOS!$M$38)</f>
        <v>0</v>
      </c>
      <c r="U23" s="26">
        <f>('TE BE'!$X$23+'TE BF'!$X$23+'TE CVA'!$X$23)*(1 - CUSTOS!$M$38)</f>
        <v>-1.5959455413524444</v>
      </c>
      <c r="V23" s="26">
        <f>('TE BE'!$Z$23+'TE BF'!$Z$23+'TE CVA'!$Z$23)*(1 - CUSTOS!$M$38)</f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116.04583714917899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11.25" customHeight="1" x14ac:dyDescent="0.25">
      <c r="A24" s="113"/>
      <c r="B24" s="28" t="s">
        <v>69</v>
      </c>
      <c r="C24" s="28" t="s">
        <v>42</v>
      </c>
      <c r="D24" s="28" t="s">
        <v>25</v>
      </c>
      <c r="E24" s="28" t="s">
        <v>25</v>
      </c>
      <c r="F24" s="28" t="s">
        <v>25</v>
      </c>
      <c r="G24" s="29" t="s">
        <v>70</v>
      </c>
      <c r="H24" s="29" t="s">
        <v>66</v>
      </c>
      <c r="I24" s="29">
        <f>'MERCADO TE'!$U$21</f>
        <v>674.72400000000005</v>
      </c>
      <c r="J24" s="15"/>
      <c r="L24" s="26">
        <f>('TE BE'!$L$24+'TE BF'!$L$24+'TE CVA'!$L$24)*(1 - CUSTOS!$M$38)</f>
        <v>0</v>
      </c>
      <c r="M24" s="26">
        <f>('TE BE'!$M$24+'TE BF'!$M$24+'TE CVA'!$M$24)*(1 - CUSTOS!$M$38)</f>
        <v>0</v>
      </c>
      <c r="N24" s="26">
        <f>('TE BE'!$N$24+'TE BF'!$N$24+'TE CVA'!$N$24)*(1 - CUSTOS!$M$38)</f>
        <v>0</v>
      </c>
      <c r="O24" s="26">
        <f>('TE BE'!$O$24+'TE BF'!$O$24+'TE CVA'!$O$24)*(1 - CUSTOS!$M$38)</f>
        <v>0</v>
      </c>
      <c r="P24" s="26">
        <f>('TE BE'!$P$24+'TE BF'!$P$24+'TE CVA'!$P$24)*(1 - CUSTOS!$M$38)</f>
        <v>0</v>
      </c>
      <c r="Q24" s="26">
        <f>('TE BE'!$R$24+'TE BF'!$R$24+'TE CVA'!$R$24)*(1 - CUSTOS!$M$38)</f>
        <v>111.03871447729129</v>
      </c>
      <c r="R24" s="26">
        <f>('TE BE'!$T$24+'TE BF'!$T$24+'TE CVA'!$T$24)*(1 - CUSTOS!$M$38)</f>
        <v>0</v>
      </c>
      <c r="S24" s="26">
        <f>('TE BE'!$U$24+'TE BF'!$U$24+'TE CVA'!$U$24)*(1 - CUSTOS!$M$38)</f>
        <v>0</v>
      </c>
      <c r="T24" s="26">
        <f>('TE BE'!$V$24+'TE BF'!$V$24+'TE CVA'!$V$24)*(1 - CUSTOS!$M$38)</f>
        <v>0</v>
      </c>
      <c r="U24" s="26">
        <f>('TE BE'!$X$24+'TE BF'!$X$24+'TE CVA'!$X$24)*(1 - CUSTOS!$M$38)</f>
        <v>-1.5959455413524444</v>
      </c>
      <c r="V24" s="26">
        <f>('TE BE'!$Z$24+'TE BF'!$Z$24+'TE CVA'!$Z$24)*(1 - CUSTOS!$M$38)</f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116.04583714917899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</row>
    <row r="25" spans="1:34" ht="11.25" customHeight="1" x14ac:dyDescent="0.25">
      <c r="A25" s="113"/>
      <c r="B25" s="113" t="s">
        <v>65</v>
      </c>
      <c r="C25" s="113" t="s">
        <v>42</v>
      </c>
      <c r="D25" s="113" t="s">
        <v>83</v>
      </c>
      <c r="E25" s="113" t="s">
        <v>25</v>
      </c>
      <c r="F25" s="113" t="s">
        <v>25</v>
      </c>
      <c r="G25" s="29" t="s">
        <v>67</v>
      </c>
      <c r="H25" s="29" t="s">
        <v>66</v>
      </c>
      <c r="I25" s="29">
        <f>'MERCADO TE'!$U$22</f>
        <v>0</v>
      </c>
      <c r="J25" s="15"/>
      <c r="L25" s="26">
        <f>('TE BE'!$L$25+'TE BF'!$L$25+'TE CVA'!$L$25)*(1 - CUSTOS!$M$39)</f>
        <v>0</v>
      </c>
      <c r="M25" s="26">
        <f>('TE BE'!$M$25+'TE BF'!$M$25+'TE CVA'!$M$25)*(1 - CUSTOS!$M$39)</f>
        <v>0</v>
      </c>
      <c r="N25" s="26">
        <f>('TE BE'!$N$25+'TE BF'!$N$25+'TE CVA'!$N$25)*(1 - CUSTOS!$M$39)</f>
        <v>0</v>
      </c>
      <c r="O25" s="26">
        <f>('TE BE'!$O$25+'TE BF'!$O$25+'TE CVA'!$O$25)*(1 - CUSTOS!$M$39)</f>
        <v>0</v>
      </c>
      <c r="P25" s="26">
        <f>('TE BE'!$P$25+'TE BF'!$P$25+'TE CVA'!$P$25)*(1 - CUSTOS!$M$39)</f>
        <v>0</v>
      </c>
      <c r="Q25" s="26">
        <f>('TE BE'!$R$25+'TE BF'!$R$25+'TE CVA'!$R$25)*(1 - CUSTOS!$M$39)</f>
        <v>111.03871447729129</v>
      </c>
      <c r="R25" s="26">
        <f>('TE BE'!$T$25+'TE BF'!$T$25+'TE CVA'!$T$25)*(1 - CUSTOS!$M$39)</f>
        <v>0</v>
      </c>
      <c r="S25" s="26">
        <f>('TE BE'!$U$25+'TE BF'!$U$25+'TE CVA'!$U$25)*(1 - CUSTOS!$M$39)</f>
        <v>0</v>
      </c>
      <c r="T25" s="26">
        <f>('TE BE'!$V$25+'TE BF'!$V$25+'TE CVA'!$V$25)*(1 - CUSTOS!$M$39)</f>
        <v>0</v>
      </c>
      <c r="U25" s="26">
        <f>('TE BE'!$X$25+'TE BF'!$X$25+'TE CVA'!$X$25)*(1 - CUSTOS!$M$39)</f>
        <v>-1.5959455413524444</v>
      </c>
      <c r="V25" s="26">
        <f>('TE BE'!$Z$25+'TE BF'!$Z$25+'TE CVA'!$Z$25)*(1 - CUSTOS!$M$39)</f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116.04583714917899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11.25" customHeight="1" x14ac:dyDescent="0.25">
      <c r="A26" s="113"/>
      <c r="B26" s="113"/>
      <c r="C26" s="113"/>
      <c r="D26" s="113"/>
      <c r="E26" s="113"/>
      <c r="F26" s="113"/>
      <c r="G26" s="29" t="s">
        <v>80</v>
      </c>
      <c r="H26" s="29" t="s">
        <v>66</v>
      </c>
      <c r="I26" s="29">
        <f>'MERCADO TE'!$U$23</f>
        <v>0</v>
      </c>
      <c r="J26" s="15"/>
      <c r="L26" s="26">
        <f>('TE BE'!$L$26+'TE BF'!$L$26+'TE CVA'!$L$26)*(1 - CUSTOS!$M$39)</f>
        <v>0</v>
      </c>
      <c r="M26" s="26">
        <f>('TE BE'!$M$26+'TE BF'!$M$26+'TE CVA'!$M$26)*(1 - CUSTOS!$M$39)</f>
        <v>0</v>
      </c>
      <c r="N26" s="26">
        <f>('TE BE'!$N$26+'TE BF'!$N$26+'TE CVA'!$N$26)*(1 - CUSTOS!$M$39)</f>
        <v>0</v>
      </c>
      <c r="O26" s="26">
        <f>('TE BE'!$O$26+'TE BF'!$O$26+'TE CVA'!$O$26)*(1 - CUSTOS!$M$39)</f>
        <v>0</v>
      </c>
      <c r="P26" s="26">
        <f>('TE BE'!$P$26+'TE BF'!$P$26+'TE CVA'!$P$26)*(1 - CUSTOS!$M$39)</f>
        <v>0</v>
      </c>
      <c r="Q26" s="26">
        <f>('TE BE'!$R$26+'TE BF'!$R$26+'TE CVA'!$R$26)*(1 - CUSTOS!$M$39)</f>
        <v>111.03871447729129</v>
      </c>
      <c r="R26" s="26">
        <f>('TE BE'!$T$26+'TE BF'!$T$26+'TE CVA'!$T$26)*(1 - CUSTOS!$M$39)</f>
        <v>0</v>
      </c>
      <c r="S26" s="26">
        <f>('TE BE'!$U$26+'TE BF'!$U$26+'TE CVA'!$U$26)*(1 - CUSTOS!$M$39)</f>
        <v>0</v>
      </c>
      <c r="T26" s="26">
        <f>('TE BE'!$V$26+'TE BF'!$V$26+'TE CVA'!$V$26)*(1 - CUSTOS!$M$39)</f>
        <v>0</v>
      </c>
      <c r="U26" s="26">
        <f>('TE BE'!$X$26+'TE BF'!$X$26+'TE CVA'!$X$26)*(1 - CUSTOS!$M$39)</f>
        <v>-1.5959455413524444</v>
      </c>
      <c r="V26" s="26">
        <f>('TE BE'!$Z$26+'TE BF'!$Z$26+'TE CVA'!$Z$26)*(1 - CUSTOS!$M$39)</f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116.04583714917899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</row>
    <row r="27" spans="1:34" ht="11.25" customHeight="1" x14ac:dyDescent="0.25">
      <c r="A27" s="113"/>
      <c r="B27" s="113"/>
      <c r="C27" s="113"/>
      <c r="D27" s="113"/>
      <c r="E27" s="113"/>
      <c r="F27" s="113"/>
      <c r="G27" s="29" t="s">
        <v>68</v>
      </c>
      <c r="H27" s="29" t="s">
        <v>66</v>
      </c>
      <c r="I27" s="29">
        <f>'MERCADO TE'!$U$24</f>
        <v>0</v>
      </c>
      <c r="J27" s="15"/>
      <c r="L27" s="26">
        <f>('TE BE'!$L$27+'TE BF'!$L$27+'TE CVA'!$L$27)*(1 - CUSTOS!$M$39)</f>
        <v>0</v>
      </c>
      <c r="M27" s="26">
        <f>('TE BE'!$M$27+'TE BF'!$M$27+'TE CVA'!$M$27)*(1 - CUSTOS!$M$39)</f>
        <v>0</v>
      </c>
      <c r="N27" s="26">
        <f>('TE BE'!$N$27+'TE BF'!$N$27+'TE CVA'!$N$27)*(1 - CUSTOS!$M$39)</f>
        <v>0</v>
      </c>
      <c r="O27" s="26">
        <f>('TE BE'!$O$27+'TE BF'!$O$27+'TE CVA'!$O$27)*(1 - CUSTOS!$M$39)</f>
        <v>0</v>
      </c>
      <c r="P27" s="26">
        <f>('TE BE'!$P$27+'TE BF'!$P$27+'TE CVA'!$P$27)*(1 - CUSTOS!$M$39)</f>
        <v>0</v>
      </c>
      <c r="Q27" s="26">
        <f>('TE BE'!$R$27+'TE BF'!$R$27+'TE CVA'!$R$27)*(1 - CUSTOS!$M$39)</f>
        <v>111.03871447729129</v>
      </c>
      <c r="R27" s="26">
        <f>('TE BE'!$T$27+'TE BF'!$T$27+'TE CVA'!$T$27)*(1 - CUSTOS!$M$39)</f>
        <v>0</v>
      </c>
      <c r="S27" s="26">
        <f>('TE BE'!$U$27+'TE BF'!$U$27+'TE CVA'!$U$27)*(1 - CUSTOS!$M$39)</f>
        <v>0</v>
      </c>
      <c r="T27" s="26">
        <f>('TE BE'!$V$27+'TE BF'!$V$27+'TE CVA'!$V$27)*(1 - CUSTOS!$M$39)</f>
        <v>0</v>
      </c>
      <c r="U27" s="26">
        <f>('TE BE'!$X$27+'TE BF'!$X$27+'TE CVA'!$X$27)*(1 - CUSTOS!$M$39)</f>
        <v>-1.5959455413524444</v>
      </c>
      <c r="V27" s="26">
        <f>('TE BE'!$Z$27+'TE BF'!$Z$27+'TE CVA'!$Z$27)*(1 - CUSTOS!$M$39)</f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116.04583714917899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</row>
    <row r="28" spans="1:34" ht="11.25" customHeight="1" x14ac:dyDescent="0.25">
      <c r="A28" s="113"/>
      <c r="B28" s="28" t="s">
        <v>69</v>
      </c>
      <c r="C28" s="28" t="s">
        <v>42</v>
      </c>
      <c r="D28" s="28" t="s">
        <v>83</v>
      </c>
      <c r="E28" s="28" t="s">
        <v>25</v>
      </c>
      <c r="F28" s="28" t="s">
        <v>25</v>
      </c>
      <c r="G28" s="29" t="s">
        <v>70</v>
      </c>
      <c r="H28" s="29" t="s">
        <v>66</v>
      </c>
      <c r="I28" s="29">
        <f>'MERCADO TE'!$U$25</f>
        <v>0</v>
      </c>
      <c r="J28" s="15"/>
      <c r="L28" s="26">
        <f>('TE BE'!$L$28+'TE BF'!$L$28+'TE CVA'!$L$28)*(1 - CUSTOS!$M$39)</f>
        <v>0</v>
      </c>
      <c r="M28" s="26">
        <f>('TE BE'!$M$28+'TE BF'!$M$28+'TE CVA'!$M$28)*(1 - CUSTOS!$M$39)</f>
        <v>0</v>
      </c>
      <c r="N28" s="26">
        <f>('TE BE'!$N$28+'TE BF'!$N$28+'TE CVA'!$N$28)*(1 - CUSTOS!$M$39)</f>
        <v>0</v>
      </c>
      <c r="O28" s="26">
        <f>('TE BE'!$O$28+'TE BF'!$O$28+'TE CVA'!$O$28)*(1 - CUSTOS!$M$39)</f>
        <v>0</v>
      </c>
      <c r="P28" s="26">
        <f>('TE BE'!$P$28+'TE BF'!$P$28+'TE CVA'!$P$28)*(1 - CUSTOS!$M$39)</f>
        <v>0</v>
      </c>
      <c r="Q28" s="26">
        <f>('TE BE'!$R$28+'TE BF'!$R$28+'TE CVA'!$R$28)*(1 - CUSTOS!$M$39)</f>
        <v>111.03871447729129</v>
      </c>
      <c r="R28" s="26">
        <f>('TE BE'!$T$28+'TE BF'!$T$28+'TE CVA'!$T$28)*(1 - CUSTOS!$M$39)</f>
        <v>0</v>
      </c>
      <c r="S28" s="26">
        <f>('TE BE'!$U$28+'TE BF'!$U$28+'TE CVA'!$U$28)*(1 - CUSTOS!$M$39)</f>
        <v>0</v>
      </c>
      <c r="T28" s="26">
        <f>('TE BE'!$V$28+'TE BF'!$V$28+'TE CVA'!$V$28)*(1 - CUSTOS!$M$39)</f>
        <v>0</v>
      </c>
      <c r="U28" s="26">
        <f>('TE BE'!$X$28+'TE BF'!$X$28+'TE CVA'!$X$28)*(1 - CUSTOS!$M$39)</f>
        <v>-1.5959455413524444</v>
      </c>
      <c r="V28" s="26">
        <f>('TE BE'!$Z$28+'TE BF'!$Z$28+'TE CVA'!$Z$28)*(1 - CUSTOS!$M$39)</f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116.04583714917899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</row>
    <row r="29" spans="1:34" ht="11.25" customHeight="1" x14ac:dyDescent="0.25">
      <c r="A29" s="113"/>
      <c r="B29" s="113" t="s">
        <v>65</v>
      </c>
      <c r="C29" s="113" t="s">
        <v>42</v>
      </c>
      <c r="D29" s="113" t="s">
        <v>84</v>
      </c>
      <c r="E29" s="113" t="s">
        <v>25</v>
      </c>
      <c r="F29" s="113" t="s">
        <v>25</v>
      </c>
      <c r="G29" s="29" t="s">
        <v>67</v>
      </c>
      <c r="H29" s="29" t="s">
        <v>66</v>
      </c>
      <c r="I29" s="29">
        <f>'MERCADO TE'!$U$26</f>
        <v>0</v>
      </c>
      <c r="J29" s="15"/>
      <c r="L29" s="26">
        <f>('TE BE'!$L$29+'TE BF'!$L$29+'TE CVA'!$L$29)*(1 - CUSTOS!$M$40)</f>
        <v>0</v>
      </c>
      <c r="M29" s="26">
        <f>('TE BE'!$M$29+'TE BF'!$M$29+'TE CVA'!$M$29)*(1 - CUSTOS!$M$40)</f>
        <v>0</v>
      </c>
      <c r="N29" s="26">
        <f>('TE BE'!$N$29+'TE BF'!$N$29+'TE CVA'!$N$29)*(1 - CUSTOS!$M$40)</f>
        <v>0</v>
      </c>
      <c r="O29" s="26">
        <f>('TE BE'!$O$29+'TE BF'!$O$29+'TE CVA'!$O$29)*(1 - CUSTOS!$M$40)</f>
        <v>0</v>
      </c>
      <c r="P29" s="26">
        <f>('TE BE'!$P$29+'TE BF'!$P$29+'TE CVA'!$P$29)*(1 - CUSTOS!$M$40)</f>
        <v>0</v>
      </c>
      <c r="Q29" s="26">
        <f>('TE BE'!$R$29+'TE BF'!$R$29+'TE CVA'!$R$29)*(1 - CUSTOS!$M$40)</f>
        <v>108.67618863734893</v>
      </c>
      <c r="R29" s="26">
        <f>('TE BE'!$T$29+'TE BF'!$T$29+'TE CVA'!$T$29)*(1 - CUSTOS!$M$40)</f>
        <v>0</v>
      </c>
      <c r="S29" s="26">
        <f>('TE BE'!$U$29+'TE BF'!$U$29+'TE CVA'!$U$29)*(1 - CUSTOS!$M$40)</f>
        <v>0</v>
      </c>
      <c r="T29" s="26">
        <f>('TE BE'!$V$29+'TE BF'!$V$29+'TE CVA'!$V$29)*(1 - CUSTOS!$M$40)</f>
        <v>0</v>
      </c>
      <c r="U29" s="26">
        <f>('TE BE'!$X$29+'TE BF'!$X$29+'TE CVA'!$X$29)*(1 - CUSTOS!$M$40)</f>
        <v>-1.5619892532385626</v>
      </c>
      <c r="V29" s="26">
        <f>('TE BE'!$Z$29+'TE BF'!$Z$29+'TE CVA'!$Z$29)*(1 - CUSTOS!$M$40)</f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110.77102636967101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</row>
    <row r="30" spans="1:34" ht="11.25" customHeight="1" x14ac:dyDescent="0.25">
      <c r="A30" s="113"/>
      <c r="B30" s="113"/>
      <c r="C30" s="113"/>
      <c r="D30" s="113"/>
      <c r="E30" s="113"/>
      <c r="F30" s="113"/>
      <c r="G30" s="29" t="s">
        <v>80</v>
      </c>
      <c r="H30" s="29" t="s">
        <v>66</v>
      </c>
      <c r="I30" s="29">
        <f>'MERCADO TE'!$U$27</f>
        <v>0</v>
      </c>
      <c r="J30" s="15"/>
      <c r="L30" s="26">
        <f>('TE BE'!$L$30+'TE BF'!$L$30+'TE CVA'!$L$30)*(1 - CUSTOS!$M$40)</f>
        <v>0</v>
      </c>
      <c r="M30" s="26">
        <f>('TE BE'!$M$30+'TE BF'!$M$30+'TE CVA'!$M$30)*(1 - CUSTOS!$M$40)</f>
        <v>0</v>
      </c>
      <c r="N30" s="26">
        <f>('TE BE'!$N$30+'TE BF'!$N$30+'TE CVA'!$N$30)*(1 - CUSTOS!$M$40)</f>
        <v>0</v>
      </c>
      <c r="O30" s="26">
        <f>('TE BE'!$O$30+'TE BF'!$O$30+'TE CVA'!$O$30)*(1 - CUSTOS!$M$40)</f>
        <v>0</v>
      </c>
      <c r="P30" s="26">
        <f>('TE BE'!$P$30+'TE BF'!$P$30+'TE CVA'!$P$30)*(1 - CUSTOS!$M$40)</f>
        <v>0</v>
      </c>
      <c r="Q30" s="26">
        <f>('TE BE'!$R$30+'TE BF'!$R$30+'TE CVA'!$R$30)*(1 - CUSTOS!$M$40)</f>
        <v>108.67618863734893</v>
      </c>
      <c r="R30" s="26">
        <f>('TE BE'!$T$30+'TE BF'!$T$30+'TE CVA'!$T$30)*(1 - CUSTOS!$M$40)</f>
        <v>0</v>
      </c>
      <c r="S30" s="26">
        <f>('TE BE'!$U$30+'TE BF'!$U$30+'TE CVA'!$U$30)*(1 - CUSTOS!$M$40)</f>
        <v>0</v>
      </c>
      <c r="T30" s="26">
        <f>('TE BE'!$V$30+'TE BF'!$V$30+'TE CVA'!$V$30)*(1 - CUSTOS!$M$40)</f>
        <v>0</v>
      </c>
      <c r="U30" s="26">
        <f>('TE BE'!$X$30+'TE BF'!$X$30+'TE CVA'!$X$30)*(1 - CUSTOS!$M$40)</f>
        <v>-1.5619892532385626</v>
      </c>
      <c r="V30" s="26">
        <f>('TE BE'!$Z$30+'TE BF'!$Z$30+'TE CVA'!$Z$30)*(1 - CUSTOS!$M$40)</f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110.77102636967101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</row>
    <row r="31" spans="1:34" ht="11.25" customHeight="1" x14ac:dyDescent="0.25">
      <c r="A31" s="113"/>
      <c r="B31" s="113"/>
      <c r="C31" s="113"/>
      <c r="D31" s="113"/>
      <c r="E31" s="113"/>
      <c r="F31" s="113"/>
      <c r="G31" s="29" t="s">
        <v>68</v>
      </c>
      <c r="H31" s="29" t="s">
        <v>66</v>
      </c>
      <c r="I31" s="29">
        <f>'MERCADO TE'!$U$28</f>
        <v>0</v>
      </c>
      <c r="J31" s="15"/>
      <c r="L31" s="26">
        <f>('TE BE'!$L$31+'TE BF'!$L$31+'TE CVA'!$L$31)*(1 - CUSTOS!$M$40)</f>
        <v>0</v>
      </c>
      <c r="M31" s="26">
        <f>('TE BE'!$M$31+'TE BF'!$M$31+'TE CVA'!$M$31)*(1 - CUSTOS!$M$40)</f>
        <v>0</v>
      </c>
      <c r="N31" s="26">
        <f>('TE BE'!$N$31+'TE BF'!$N$31+'TE CVA'!$N$31)*(1 - CUSTOS!$M$40)</f>
        <v>0</v>
      </c>
      <c r="O31" s="26">
        <f>('TE BE'!$O$31+'TE BF'!$O$31+'TE CVA'!$O$31)*(1 - CUSTOS!$M$40)</f>
        <v>0</v>
      </c>
      <c r="P31" s="26">
        <f>('TE BE'!$P$31+'TE BF'!$P$31+'TE CVA'!$P$31)*(1 - CUSTOS!$M$40)</f>
        <v>0</v>
      </c>
      <c r="Q31" s="26">
        <f>('TE BE'!$R$31+'TE BF'!$R$31+'TE CVA'!$R$31)*(1 - CUSTOS!$M$40)</f>
        <v>108.67618863734893</v>
      </c>
      <c r="R31" s="26">
        <f>('TE BE'!$T$31+'TE BF'!$T$31+'TE CVA'!$T$31)*(1 - CUSTOS!$M$40)</f>
        <v>0</v>
      </c>
      <c r="S31" s="26">
        <f>('TE BE'!$U$31+'TE BF'!$U$31+'TE CVA'!$U$31)*(1 - CUSTOS!$M$40)</f>
        <v>0</v>
      </c>
      <c r="T31" s="26">
        <f>('TE BE'!$V$31+'TE BF'!$V$31+'TE CVA'!$V$31)*(1 - CUSTOS!$M$40)</f>
        <v>0</v>
      </c>
      <c r="U31" s="26">
        <f>('TE BE'!$X$31+'TE BF'!$X$31+'TE CVA'!$X$31)*(1 - CUSTOS!$M$40)</f>
        <v>-1.5619892532385626</v>
      </c>
      <c r="V31" s="26">
        <f>('TE BE'!$Z$31+'TE BF'!$Z$31+'TE CVA'!$Z$31)*(1 - CUSTOS!$M$40)</f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110.77102636967101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</row>
    <row r="32" spans="1:34" ht="11.25" customHeight="1" x14ac:dyDescent="0.25">
      <c r="A32" s="113"/>
      <c r="B32" s="28" t="s">
        <v>69</v>
      </c>
      <c r="C32" s="28" t="s">
        <v>42</v>
      </c>
      <c r="D32" s="28" t="s">
        <v>84</v>
      </c>
      <c r="E32" s="28" t="s">
        <v>25</v>
      </c>
      <c r="F32" s="28" t="s">
        <v>25</v>
      </c>
      <c r="G32" s="29" t="s">
        <v>70</v>
      </c>
      <c r="H32" s="29" t="s">
        <v>66</v>
      </c>
      <c r="I32" s="29">
        <f>'MERCADO TE'!$U$29</f>
        <v>0</v>
      </c>
      <c r="J32" s="15"/>
      <c r="L32" s="26">
        <f>('TE BE'!$L$32+'TE BF'!$L$32+'TE CVA'!$L$32)*(1 - CUSTOS!$M$40)</f>
        <v>0</v>
      </c>
      <c r="M32" s="26">
        <f>('TE BE'!$M$32+'TE BF'!$M$32+'TE CVA'!$M$32)*(1 - CUSTOS!$M$40)</f>
        <v>0</v>
      </c>
      <c r="N32" s="26">
        <f>('TE BE'!$N$32+'TE BF'!$N$32+'TE CVA'!$N$32)*(1 - CUSTOS!$M$40)</f>
        <v>0</v>
      </c>
      <c r="O32" s="26">
        <f>('TE BE'!$O$32+'TE BF'!$O$32+'TE CVA'!$O$32)*(1 - CUSTOS!$M$40)</f>
        <v>0</v>
      </c>
      <c r="P32" s="26">
        <f>('TE BE'!$P$32+'TE BF'!$P$32+'TE CVA'!$P$32)*(1 - CUSTOS!$M$40)</f>
        <v>0</v>
      </c>
      <c r="Q32" s="26">
        <f>('TE BE'!$R$32+'TE BF'!$R$32+'TE CVA'!$R$32)*(1 - CUSTOS!$M$40)</f>
        <v>108.67618863734893</v>
      </c>
      <c r="R32" s="26">
        <f>('TE BE'!$T$32+'TE BF'!$T$32+'TE CVA'!$T$32)*(1 - CUSTOS!$M$40)</f>
        <v>0</v>
      </c>
      <c r="S32" s="26">
        <f>('TE BE'!$U$32+'TE BF'!$U$32+'TE CVA'!$U$32)*(1 - CUSTOS!$M$40)</f>
        <v>0</v>
      </c>
      <c r="T32" s="26">
        <f>('TE BE'!$V$32+'TE BF'!$V$32+'TE CVA'!$V$32)*(1 - CUSTOS!$M$40)</f>
        <v>0</v>
      </c>
      <c r="U32" s="26">
        <f>('TE BE'!$X$32+'TE BF'!$X$32+'TE CVA'!$X$32)*(1 - CUSTOS!$M$40)</f>
        <v>-1.5619892532385626</v>
      </c>
      <c r="V32" s="26">
        <f>('TE BE'!$Z$32+'TE BF'!$Z$32+'TE CVA'!$Z$32)*(1 - CUSTOS!$M$40)</f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110.77102636967101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</row>
    <row r="33" spans="1:34" ht="11.25" customHeight="1" x14ac:dyDescent="0.25">
      <c r="A33" s="113"/>
      <c r="B33" s="113" t="s">
        <v>81</v>
      </c>
      <c r="C33" s="113" t="s">
        <v>42</v>
      </c>
      <c r="D33" s="28" t="s">
        <v>25</v>
      </c>
      <c r="E33" s="28" t="s">
        <v>25</v>
      </c>
      <c r="F33" s="28" t="s">
        <v>25</v>
      </c>
      <c r="G33" s="29" t="s">
        <v>70</v>
      </c>
      <c r="H33" s="29" t="s">
        <v>66</v>
      </c>
      <c r="I33" s="29">
        <f>'MERCADO TE'!$U$30</f>
        <v>0</v>
      </c>
      <c r="J33" s="15"/>
      <c r="L33" s="26">
        <f>('TE BE'!$L$33+'TE BF'!$L$33+'TE CVA'!$L$33)*(1 - CUSTOS!$M$38)</f>
        <v>0</v>
      </c>
      <c r="M33" s="26">
        <f>('TE BE'!$M$33+'TE BF'!$M$33+'TE CVA'!$M$33)*(1 - CUSTOS!$M$38)</f>
        <v>0</v>
      </c>
      <c r="N33" s="26">
        <f>('TE BE'!$N$33+'TE BF'!$N$33+'TE CVA'!$N$33)*(1 - CUSTOS!$M$38)</f>
        <v>0</v>
      </c>
      <c r="O33" s="26">
        <f>('TE BE'!$O$33+'TE BF'!$O$33+'TE CVA'!$O$33)*(1 - CUSTOS!$M$38)</f>
        <v>0</v>
      </c>
      <c r="P33" s="26">
        <f>('TE BE'!$P$33+'TE BF'!$P$33+'TE CVA'!$P$33)*(1 - CUSTOS!$M$38)</f>
        <v>0</v>
      </c>
      <c r="Q33" s="26">
        <f>('TE BE'!$R$33+'TE BF'!$R$33+'TE CVA'!$R$33)*(1 - CUSTOS!$M$38)</f>
        <v>111.03871447729129</v>
      </c>
      <c r="R33" s="26">
        <f>('TE BE'!$T$33+'TE BF'!$T$33+'TE CVA'!$T$33)*(1 - CUSTOS!$M$38)</f>
        <v>0</v>
      </c>
      <c r="S33" s="26">
        <f>('TE BE'!$U$33+'TE BF'!$U$33+'TE CVA'!$U$33)*(1 - CUSTOS!$M$38)</f>
        <v>0</v>
      </c>
      <c r="T33" s="26">
        <f>('TE BE'!$V$33+'TE BF'!$V$33+'TE CVA'!$V$33)*(1 - CUSTOS!$M$38)</f>
        <v>0</v>
      </c>
      <c r="U33" s="26">
        <f>('TE BE'!$X$33+'TE BF'!$X$33+'TE CVA'!$X$33)*(1 - CUSTOS!$M$38)</f>
        <v>-1.5959455413524444</v>
      </c>
      <c r="V33" s="26">
        <f>('TE BE'!$Z$33+'TE BF'!$Z$33+'TE CVA'!$Z$33)*(1 - CUSTOS!$M$38)</f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116.04583714917899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</row>
    <row r="34" spans="1:34" ht="11.25" customHeight="1" x14ac:dyDescent="0.25">
      <c r="A34" s="113"/>
      <c r="B34" s="113"/>
      <c r="C34" s="113"/>
      <c r="D34" s="28" t="s">
        <v>83</v>
      </c>
      <c r="E34" s="28" t="s">
        <v>25</v>
      </c>
      <c r="F34" s="28" t="s">
        <v>25</v>
      </c>
      <c r="G34" s="29" t="s">
        <v>70</v>
      </c>
      <c r="H34" s="29" t="s">
        <v>66</v>
      </c>
      <c r="I34" s="29">
        <f>'MERCADO TE'!$U$31</f>
        <v>0</v>
      </c>
      <c r="J34" s="15"/>
      <c r="L34" s="26">
        <f>('TE BE'!$L$34+'TE BF'!$L$34+'TE CVA'!$L$34)*(1 - CUSTOS!$M$39)</f>
        <v>0</v>
      </c>
      <c r="M34" s="26">
        <f>('TE BE'!$M$34+'TE BF'!$M$34+'TE CVA'!$M$34)*(1 - CUSTOS!$M$39)</f>
        <v>0</v>
      </c>
      <c r="N34" s="26">
        <f>('TE BE'!$N$34+'TE BF'!$N$34+'TE CVA'!$N$34)*(1 - CUSTOS!$M$39)</f>
        <v>0</v>
      </c>
      <c r="O34" s="26">
        <f>('TE BE'!$O$34+'TE BF'!$O$34+'TE CVA'!$O$34)*(1 - CUSTOS!$M$39)</f>
        <v>0</v>
      </c>
      <c r="P34" s="26">
        <f>('TE BE'!$P$34+'TE BF'!$P$34+'TE CVA'!$P$34)*(1 - CUSTOS!$M$39)</f>
        <v>0</v>
      </c>
      <c r="Q34" s="26">
        <f>('TE BE'!$R$34+'TE BF'!$R$34+'TE CVA'!$R$34)*(1 - CUSTOS!$M$39)</f>
        <v>111.03871447729129</v>
      </c>
      <c r="R34" s="26">
        <f>('TE BE'!$T$34+'TE BF'!$T$34+'TE CVA'!$T$34)*(1 - CUSTOS!$M$39)</f>
        <v>0</v>
      </c>
      <c r="S34" s="26">
        <f>('TE BE'!$U$34+'TE BF'!$U$34+'TE CVA'!$U$34)*(1 - CUSTOS!$M$39)</f>
        <v>0</v>
      </c>
      <c r="T34" s="26">
        <f>('TE BE'!$V$34+'TE BF'!$V$34+'TE CVA'!$V$34)*(1 - CUSTOS!$M$39)</f>
        <v>0</v>
      </c>
      <c r="U34" s="26">
        <f>('TE BE'!$X$34+'TE BF'!$X$34+'TE CVA'!$X$34)*(1 - CUSTOS!$M$39)</f>
        <v>-1.5959455413524444</v>
      </c>
      <c r="V34" s="26">
        <f>('TE BE'!$Z$34+'TE BF'!$Z$34+'TE CVA'!$Z$34)*(1 - CUSTOS!$M$39)</f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116.04583714917899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</row>
    <row r="35" spans="1:34" ht="11.25" customHeight="1" x14ac:dyDescent="0.25">
      <c r="A35" s="113"/>
      <c r="B35" s="113"/>
      <c r="C35" s="113"/>
      <c r="D35" s="28" t="s">
        <v>84</v>
      </c>
      <c r="E35" s="28" t="s">
        <v>25</v>
      </c>
      <c r="F35" s="28" t="s">
        <v>25</v>
      </c>
      <c r="G35" s="29" t="s">
        <v>70</v>
      </c>
      <c r="H35" s="29" t="s">
        <v>66</v>
      </c>
      <c r="I35" s="29">
        <f>'MERCADO TE'!$U$32</f>
        <v>0</v>
      </c>
      <c r="J35" s="15"/>
      <c r="L35" s="26">
        <f>('TE BE'!$L$35+'TE BF'!$L$35+'TE CVA'!$L$35)*(1 - CUSTOS!$M$40)</f>
        <v>0</v>
      </c>
      <c r="M35" s="26">
        <f>('TE BE'!$M$35+'TE BF'!$M$35+'TE CVA'!$M$35)*(1 - CUSTOS!$M$40)</f>
        <v>0</v>
      </c>
      <c r="N35" s="26">
        <f>('TE BE'!$N$35+'TE BF'!$N$35+'TE CVA'!$N$35)*(1 - CUSTOS!$M$40)</f>
        <v>0</v>
      </c>
      <c r="O35" s="26">
        <f>('TE BE'!$O$35+'TE BF'!$O$35+'TE CVA'!$O$35)*(1 - CUSTOS!$M$40)</f>
        <v>0</v>
      </c>
      <c r="P35" s="26">
        <f>('TE BE'!$P$35+'TE BF'!$P$35+'TE CVA'!$P$35)*(1 - CUSTOS!$M$40)</f>
        <v>0</v>
      </c>
      <c r="Q35" s="26">
        <f>('TE BE'!$R$35+'TE BF'!$R$35+'TE CVA'!$R$35)*(1 - CUSTOS!$M$40)</f>
        <v>108.67618863734893</v>
      </c>
      <c r="R35" s="26">
        <f>('TE BE'!$T$35+'TE BF'!$T$35+'TE CVA'!$T$35)*(1 - CUSTOS!$M$40)</f>
        <v>0</v>
      </c>
      <c r="S35" s="26">
        <f>('TE BE'!$U$35+'TE BF'!$U$35+'TE CVA'!$U$35)*(1 - CUSTOS!$M$40)</f>
        <v>0</v>
      </c>
      <c r="T35" s="26">
        <f>('TE BE'!$V$35+'TE BF'!$V$35+'TE CVA'!$V$35)*(1 - CUSTOS!$M$40)</f>
        <v>0</v>
      </c>
      <c r="U35" s="26">
        <f>('TE BE'!$X$35+'TE BF'!$X$35+'TE CVA'!$X$35)*(1 - CUSTOS!$M$40)</f>
        <v>-1.5619892532385626</v>
      </c>
      <c r="V35" s="26">
        <f>('TE BE'!$Z$35+'TE BF'!$Z$35+'TE CVA'!$Z$35)*(1 - CUSTOS!$M$40)</f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110.77102636967101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</row>
    <row r="36" spans="1:34" ht="11.25" customHeight="1" x14ac:dyDescent="0.25">
      <c r="A36" s="113" t="s">
        <v>37</v>
      </c>
      <c r="B36" s="113" t="s">
        <v>65</v>
      </c>
      <c r="C36" s="113" t="s">
        <v>25</v>
      </c>
      <c r="D36" s="113" t="s">
        <v>25</v>
      </c>
      <c r="E36" s="113" t="s">
        <v>25</v>
      </c>
      <c r="F36" s="113" t="s">
        <v>25</v>
      </c>
      <c r="G36" s="29" t="s">
        <v>67</v>
      </c>
      <c r="H36" s="29" t="s">
        <v>66</v>
      </c>
      <c r="I36" s="29">
        <f>'MERCADO TE'!$U$33</f>
        <v>0</v>
      </c>
      <c r="J36" s="15"/>
      <c r="L36" s="26">
        <f>('TE BE'!$L$36+'TE BF'!$L$36+'TE CVA'!$L$36)*1</f>
        <v>0</v>
      </c>
      <c r="M36" s="26">
        <f>('TE BE'!$M$36+'TE BF'!$M$36+'TE CVA'!$M$36)*1</f>
        <v>0</v>
      </c>
      <c r="N36" s="26">
        <f>('TE BE'!$N$36+'TE BF'!$N$36+'TE CVA'!$N$36)*1</f>
        <v>0</v>
      </c>
      <c r="O36" s="26">
        <f>('TE BE'!$O$36+'TE BF'!$O$36+'TE CVA'!$O$36)*1</f>
        <v>0</v>
      </c>
      <c r="P36" s="26">
        <f>('TE BE'!$P$36+'TE BF'!$P$36+'TE CVA'!$P$36)*1</f>
        <v>0</v>
      </c>
      <c r="Q36" s="26">
        <f>('TE BE'!$R$36+'TE BF'!$R$36+'TE CVA'!$R$36)*1</f>
        <v>118.1262919971184</v>
      </c>
      <c r="R36" s="26">
        <f>('TE BE'!$T$36+'TE BF'!$T$36+'TE CVA'!$T$36)*1</f>
        <v>0</v>
      </c>
      <c r="S36" s="26">
        <f>('TE BE'!$U$36+'TE BF'!$U$36+'TE CVA'!$U$36)*1</f>
        <v>0</v>
      </c>
      <c r="T36" s="26">
        <f>('TE BE'!$V$36+'TE BF'!$V$36+'TE CVA'!$V$36)*1</f>
        <v>0</v>
      </c>
      <c r="U36" s="26">
        <f>('TE BE'!$X$36+'TE BF'!$X$36+'TE CVA'!$X$36)*1</f>
        <v>-1.6978144056940898</v>
      </c>
      <c r="V36" s="26">
        <f>('TE BE'!$Z$36+'TE BF'!$Z$36+'TE CVA'!$Z$36)*1</f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131.87026948770301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</row>
    <row r="37" spans="1:34" ht="11.25" customHeight="1" x14ac:dyDescent="0.25">
      <c r="A37" s="113"/>
      <c r="B37" s="113"/>
      <c r="C37" s="113"/>
      <c r="D37" s="113"/>
      <c r="E37" s="113"/>
      <c r="F37" s="113"/>
      <c r="G37" s="29" t="s">
        <v>80</v>
      </c>
      <c r="H37" s="29" t="s">
        <v>66</v>
      </c>
      <c r="I37" s="29">
        <f>'MERCADO TE'!$U$34</f>
        <v>0</v>
      </c>
      <c r="J37" s="15"/>
      <c r="L37" s="26">
        <f>('TE BE'!$L$37+'TE BF'!$L$37+'TE CVA'!$L$37)*1</f>
        <v>0</v>
      </c>
      <c r="M37" s="26">
        <f>('TE BE'!$M$37+'TE BF'!$M$37+'TE CVA'!$M$37)*1</f>
        <v>0</v>
      </c>
      <c r="N37" s="26">
        <f>('TE BE'!$N$37+'TE BF'!$N$37+'TE CVA'!$N$37)*1</f>
        <v>0</v>
      </c>
      <c r="O37" s="26">
        <f>('TE BE'!$O$37+'TE BF'!$O$37+'TE CVA'!$O$37)*1</f>
        <v>0</v>
      </c>
      <c r="P37" s="26">
        <f>('TE BE'!$P$37+'TE BF'!$P$37+'TE CVA'!$P$37)*1</f>
        <v>0</v>
      </c>
      <c r="Q37" s="26">
        <f>('TE BE'!$R$37+'TE BF'!$R$37+'TE CVA'!$R$37)*1</f>
        <v>118.1262919971184</v>
      </c>
      <c r="R37" s="26">
        <f>('TE BE'!$T$37+'TE BF'!$T$37+'TE CVA'!$T$37)*1</f>
        <v>0</v>
      </c>
      <c r="S37" s="26">
        <f>('TE BE'!$U$37+'TE BF'!$U$37+'TE CVA'!$U$37)*1</f>
        <v>0</v>
      </c>
      <c r="T37" s="26">
        <f>('TE BE'!$V$37+'TE BF'!$V$37+'TE CVA'!$V$37)*1</f>
        <v>0</v>
      </c>
      <c r="U37" s="26">
        <f>('TE BE'!$X$37+'TE BF'!$X$37+'TE CVA'!$X$37)*1</f>
        <v>-1.6978144056940898</v>
      </c>
      <c r="V37" s="26">
        <f>('TE BE'!$Z$37+'TE BF'!$Z$37+'TE CVA'!$Z$37)*1</f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131.87026948770301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</row>
    <row r="38" spans="1:34" ht="11.25" customHeight="1" x14ac:dyDescent="0.25">
      <c r="A38" s="113"/>
      <c r="B38" s="113"/>
      <c r="C38" s="113"/>
      <c r="D38" s="113"/>
      <c r="E38" s="113"/>
      <c r="F38" s="113"/>
      <c r="G38" s="29" t="s">
        <v>68</v>
      </c>
      <c r="H38" s="29" t="s">
        <v>66</v>
      </c>
      <c r="I38" s="29">
        <f>'MERCADO TE'!$U$35</f>
        <v>0</v>
      </c>
      <c r="J38" s="15"/>
      <c r="L38" s="26">
        <f>('TE BE'!$L$38+'TE BF'!$L$38+'TE CVA'!$L$38)*1</f>
        <v>0</v>
      </c>
      <c r="M38" s="26">
        <f>('TE BE'!$M$38+'TE BF'!$M$38+'TE CVA'!$M$38)*1</f>
        <v>0</v>
      </c>
      <c r="N38" s="26">
        <f>('TE BE'!$N$38+'TE BF'!$N$38+'TE CVA'!$N$38)*1</f>
        <v>0</v>
      </c>
      <c r="O38" s="26">
        <f>('TE BE'!$O$38+'TE BF'!$O$38+'TE CVA'!$O$38)*1</f>
        <v>0</v>
      </c>
      <c r="P38" s="26">
        <f>('TE BE'!$P$38+'TE BF'!$P$38+'TE CVA'!$P$38)*1</f>
        <v>0</v>
      </c>
      <c r="Q38" s="26">
        <f>('TE BE'!$R$38+'TE BF'!$R$38+'TE CVA'!$R$38)*1</f>
        <v>118.1262919971184</v>
      </c>
      <c r="R38" s="26">
        <f>('TE BE'!$T$38+'TE BF'!$T$38+'TE CVA'!$T$38)*1</f>
        <v>0</v>
      </c>
      <c r="S38" s="26">
        <f>('TE BE'!$U$38+'TE BF'!$U$38+'TE CVA'!$U$38)*1</f>
        <v>0</v>
      </c>
      <c r="T38" s="26">
        <f>('TE BE'!$V$38+'TE BF'!$V$38+'TE CVA'!$V$38)*1</f>
        <v>0</v>
      </c>
      <c r="U38" s="26">
        <f>('TE BE'!$X$38+'TE BF'!$X$38+'TE CVA'!$X$38)*1</f>
        <v>-1.6978144056940898</v>
      </c>
      <c r="V38" s="26">
        <f>('TE BE'!$Z$38+'TE BF'!$Z$38+'TE CVA'!$Z$38)*1</f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131.87026948770301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</row>
    <row r="39" spans="1:34" ht="11.25" customHeight="1" x14ac:dyDescent="0.25">
      <c r="A39" s="113"/>
      <c r="B39" s="28" t="s">
        <v>69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66</v>
      </c>
      <c r="I39" s="29">
        <f>'MERCADO TE'!$U$36</f>
        <v>1464.15</v>
      </c>
      <c r="J39" s="15"/>
      <c r="L39" s="26">
        <f>('TE BE'!$L$39+'TE BF'!$L$39+'TE CVA'!$L$39)*1</f>
        <v>0</v>
      </c>
      <c r="M39" s="26">
        <f>('TE BE'!$M$39+'TE BF'!$M$39+'TE CVA'!$M$39)*1</f>
        <v>0</v>
      </c>
      <c r="N39" s="26">
        <f>('TE BE'!$N$39+'TE BF'!$N$39+'TE CVA'!$N$39)*1</f>
        <v>0</v>
      </c>
      <c r="O39" s="26">
        <f>('TE BE'!$O$39+'TE BF'!$O$39+'TE CVA'!$O$39)*1</f>
        <v>0</v>
      </c>
      <c r="P39" s="26">
        <f>('TE BE'!$P$39+'TE BF'!$P$39+'TE CVA'!$P$39)*1</f>
        <v>0</v>
      </c>
      <c r="Q39" s="26">
        <f>('TE BE'!$R$39+'TE BF'!$R$39+'TE CVA'!$R$39)*1</f>
        <v>118.1262919971184</v>
      </c>
      <c r="R39" s="26">
        <f>('TE BE'!$T$39+'TE BF'!$T$39+'TE CVA'!$T$39)*1</f>
        <v>0</v>
      </c>
      <c r="S39" s="26">
        <f>('TE BE'!$U$39+'TE BF'!$U$39+'TE CVA'!$U$39)*1</f>
        <v>0</v>
      </c>
      <c r="T39" s="26">
        <f>('TE BE'!$V$39+'TE BF'!$V$39+'TE CVA'!$V$39)*1</f>
        <v>0</v>
      </c>
      <c r="U39" s="26">
        <f>('TE BE'!$X$39+'TE BF'!$X$39+'TE CVA'!$X$39)*1</f>
        <v>-1.6978144056940898</v>
      </c>
      <c r="V39" s="26">
        <f>('TE BE'!$Z$39+'TE BF'!$Z$39+'TE CVA'!$Z$39)*1</f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131.87026948770301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</row>
    <row r="40" spans="1:34" ht="11.25" customHeight="1" x14ac:dyDescent="0.25">
      <c r="A40" s="113"/>
      <c r="B40" s="28" t="s">
        <v>81</v>
      </c>
      <c r="C40" s="28" t="s">
        <v>25</v>
      </c>
      <c r="D40" s="28" t="s">
        <v>25</v>
      </c>
      <c r="E40" s="28" t="s">
        <v>25</v>
      </c>
      <c r="F40" s="28" t="s">
        <v>25</v>
      </c>
      <c r="G40" s="29" t="s">
        <v>70</v>
      </c>
      <c r="H40" s="29" t="s">
        <v>66</v>
      </c>
      <c r="I40" s="29">
        <f>'MERCADO TE'!$U$37</f>
        <v>0</v>
      </c>
      <c r="J40" s="15"/>
      <c r="L40" s="26">
        <f>('TE BE'!$L$40+'TE BF'!$L$40+'TE CVA'!$L$40)*1</f>
        <v>0</v>
      </c>
      <c r="M40" s="26">
        <f>('TE BE'!$M$40+'TE BF'!$M$40+'TE CVA'!$M$40)*1</f>
        <v>0</v>
      </c>
      <c r="N40" s="26">
        <f>('TE BE'!$N$40+'TE BF'!$N$40+'TE CVA'!$N$40)*1</f>
        <v>0</v>
      </c>
      <c r="O40" s="26">
        <f>('TE BE'!$O$40+'TE BF'!$O$40+'TE CVA'!$O$40)*1</f>
        <v>0</v>
      </c>
      <c r="P40" s="26">
        <f>('TE BE'!$P$40+'TE BF'!$P$40+'TE CVA'!$P$40)*1</f>
        <v>0</v>
      </c>
      <c r="Q40" s="26">
        <f>('TE BE'!$R$40+'TE BF'!$R$40+'TE CVA'!$R$40)*1</f>
        <v>118.1262919971184</v>
      </c>
      <c r="R40" s="26">
        <f>('TE BE'!$T$40+'TE BF'!$T$40+'TE CVA'!$T$40)*1</f>
        <v>0</v>
      </c>
      <c r="S40" s="26">
        <f>('TE BE'!$U$40+'TE BF'!$U$40+'TE CVA'!$U$40)*1</f>
        <v>0</v>
      </c>
      <c r="T40" s="26">
        <f>('TE BE'!$V$40+'TE BF'!$V$40+'TE CVA'!$V$40)*1</f>
        <v>0</v>
      </c>
      <c r="U40" s="26">
        <f>('TE BE'!$X$40+'TE BF'!$X$40+'TE CVA'!$X$40)*1</f>
        <v>-1.6978144056940898</v>
      </c>
      <c r="V40" s="26">
        <f>('TE BE'!$Z$40+'TE BF'!$Z$40+'TE CVA'!$Z$40)*1</f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131.87026948770301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</row>
    <row r="41" spans="1:34" ht="11.25" customHeight="1" x14ac:dyDescent="0.25">
      <c r="A41" s="113" t="s">
        <v>44</v>
      </c>
      <c r="B41" s="113" t="s">
        <v>69</v>
      </c>
      <c r="C41" s="113" t="s">
        <v>45</v>
      </c>
      <c r="D41" s="28" t="s">
        <v>46</v>
      </c>
      <c r="E41" s="28" t="s">
        <v>25</v>
      </c>
      <c r="F41" s="28" t="s">
        <v>25</v>
      </c>
      <c r="G41" s="29" t="s">
        <v>70</v>
      </c>
      <c r="H41" s="29" t="s">
        <v>66</v>
      </c>
      <c r="I41" s="29">
        <f>'MERCADO TE'!$U$38</f>
        <v>491.28100000000001</v>
      </c>
      <c r="J41" s="15"/>
      <c r="L41" s="26">
        <f>('TE BE'!$L$41+'TE BF'!$L$41+'TE CVA'!$L$41)*1</f>
        <v>0</v>
      </c>
      <c r="M41" s="26">
        <f>('TE BE'!$M$41+'TE BF'!$M$41+'TE CVA'!$M$41)*1</f>
        <v>0</v>
      </c>
      <c r="N41" s="26">
        <f>('TE BE'!$N$41+'TE BF'!$N$41+'TE CVA'!$N$41)*1</f>
        <v>0</v>
      </c>
      <c r="O41" s="26">
        <f>('TE BE'!$O$41+'TE BF'!$O$41+'TE CVA'!$O$41)*1</f>
        <v>0</v>
      </c>
      <c r="P41" s="26">
        <f>('TE BE'!$P$41+'TE BF'!$P$41+'TE CVA'!$P$41)*1</f>
        <v>0</v>
      </c>
      <c r="Q41" s="26">
        <f>('TE BE'!$R$41+'TE BF'!$R$41+'TE CVA'!$R$41)*1</f>
        <v>64.969460598415125</v>
      </c>
      <c r="R41" s="26">
        <f>('TE BE'!$T$41+'TE BF'!$T$41+'TE CVA'!$T$41)*1</f>
        <v>0</v>
      </c>
      <c r="S41" s="26">
        <f>('TE BE'!$U$41+'TE BF'!$U$41+'TE CVA'!$U$41)*1</f>
        <v>0</v>
      </c>
      <c r="T41" s="26">
        <f>('TE BE'!$V$41+'TE BF'!$V$41+'TE CVA'!$V$41)*1</f>
        <v>0</v>
      </c>
      <c r="U41" s="26">
        <f>('TE BE'!$X$41+'TE BF'!$X$41+'TE CVA'!$X$41)*1</f>
        <v>-0.93379792313174947</v>
      </c>
      <c r="V41" s="26">
        <f>('TE BE'!$Z$41+'TE BF'!$Z$41+'TE CVA'!$Z$41)*1</f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72.528648218236697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</row>
    <row r="42" spans="1:34" ht="11.25" customHeight="1" x14ac:dyDescent="0.25">
      <c r="A42" s="113"/>
      <c r="B42" s="113"/>
      <c r="C42" s="113"/>
      <c r="D42" s="29" t="s">
        <v>85</v>
      </c>
      <c r="E42" s="29" t="s">
        <v>25</v>
      </c>
      <c r="F42" s="29" t="s">
        <v>25</v>
      </c>
      <c r="G42" s="29" t="s">
        <v>70</v>
      </c>
      <c r="H42" s="29" t="s">
        <v>66</v>
      </c>
      <c r="I42" s="29">
        <f>'MERCADO TE'!$U$39</f>
        <v>0</v>
      </c>
      <c r="J42" s="15"/>
      <c r="L42" s="26">
        <f>('TE BE'!$L$42+'TE BF'!$L$42+'TE CVA'!$L$42)*1</f>
        <v>0</v>
      </c>
      <c r="M42" s="26">
        <f>('TE BE'!$M$42+'TE BF'!$M$42+'TE CVA'!$M$42)*1</f>
        <v>0</v>
      </c>
      <c r="N42" s="26">
        <f>('TE BE'!$N$42+'TE BF'!$N$42+'TE CVA'!$N$42)*1</f>
        <v>0</v>
      </c>
      <c r="O42" s="26">
        <f>('TE BE'!$O$42+'TE BF'!$O$42+'TE CVA'!$O$42)*1</f>
        <v>0</v>
      </c>
      <c r="P42" s="26">
        <f>('TE BE'!$P$42+'TE BF'!$P$42+'TE CVA'!$P$42)*1</f>
        <v>0</v>
      </c>
      <c r="Q42" s="26">
        <f>('TE BE'!$R$42+'TE BF'!$R$42+'TE CVA'!$R$42)*1</f>
        <v>70.875775198271029</v>
      </c>
      <c r="R42" s="26">
        <f>('TE BE'!$T$42+'TE BF'!$T$42+'TE CVA'!$T$42)*1</f>
        <v>0</v>
      </c>
      <c r="S42" s="26">
        <f>('TE BE'!$U$42+'TE BF'!$U$42+'TE CVA'!$U$42)*1</f>
        <v>0</v>
      </c>
      <c r="T42" s="26">
        <f>('TE BE'!$V$42+'TE BF'!$V$42+'TE CVA'!$V$42)*1</f>
        <v>0</v>
      </c>
      <c r="U42" s="26">
        <f>('TE BE'!$X$42+'TE BF'!$X$42+'TE CVA'!$X$42)*1</f>
        <v>-1.0186886434164537</v>
      </c>
      <c r="V42" s="26">
        <f>('TE BE'!$Z$42+'TE BF'!$Z$42+'TE CVA'!$Z$42)*1</f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79.122161692621802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</row>
    <row r="44" spans="1:34" ht="11.25" customHeight="1" x14ac:dyDescent="0.25">
      <c r="L44" s="110" t="s">
        <v>863</v>
      </c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X44" s="110" t="s">
        <v>864</v>
      </c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</row>
    <row r="45" spans="1:34" ht="11.25" customHeight="1" x14ac:dyDescent="0.25">
      <c r="L45" s="110" t="s">
        <v>427</v>
      </c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X45" s="110" t="s">
        <v>427</v>
      </c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</row>
    <row r="46" spans="1:34" ht="11.25" customHeight="1" x14ac:dyDescent="0.25">
      <c r="L46" s="110" t="s">
        <v>400</v>
      </c>
      <c r="M46" s="110"/>
      <c r="N46" s="110"/>
      <c r="O46" s="110"/>
      <c r="P46" s="110"/>
      <c r="Q46" s="30" t="s">
        <v>431</v>
      </c>
      <c r="R46" s="110" t="s">
        <v>409</v>
      </c>
      <c r="S46" s="110"/>
      <c r="T46" s="110"/>
      <c r="U46" s="30" t="s">
        <v>419</v>
      </c>
      <c r="V46" s="30" t="s">
        <v>422</v>
      </c>
      <c r="X46" s="110" t="s">
        <v>400</v>
      </c>
      <c r="Y46" s="110"/>
      <c r="Z46" s="110"/>
      <c r="AA46" s="110"/>
      <c r="AB46" s="110"/>
      <c r="AC46" s="30" t="s">
        <v>431</v>
      </c>
      <c r="AD46" s="110" t="s">
        <v>409</v>
      </c>
      <c r="AE46" s="110"/>
      <c r="AF46" s="110"/>
      <c r="AG46" s="30" t="s">
        <v>419</v>
      </c>
      <c r="AH46" s="30" t="s">
        <v>422</v>
      </c>
    </row>
    <row r="47" spans="1:34" ht="11.25" customHeight="1" x14ac:dyDescent="0.25">
      <c r="L47" s="30" t="s">
        <v>402</v>
      </c>
      <c r="M47" s="30" t="s">
        <v>428</v>
      </c>
      <c r="N47" s="30" t="s">
        <v>429</v>
      </c>
      <c r="O47" s="30" t="s">
        <v>488</v>
      </c>
      <c r="P47" s="30" t="s">
        <v>430</v>
      </c>
      <c r="Q47" s="30" t="s">
        <v>432</v>
      </c>
      <c r="R47" s="30" t="s">
        <v>433</v>
      </c>
      <c r="S47" s="30" t="s">
        <v>434</v>
      </c>
      <c r="T47" s="30" t="s">
        <v>435</v>
      </c>
      <c r="U47" s="30" t="s">
        <v>420</v>
      </c>
      <c r="V47" s="30" t="s">
        <v>436</v>
      </c>
      <c r="X47" s="30" t="s">
        <v>402</v>
      </c>
      <c r="Y47" s="30" t="s">
        <v>428</v>
      </c>
      <c r="Z47" s="30" t="s">
        <v>429</v>
      </c>
      <c r="AA47" s="30" t="s">
        <v>488</v>
      </c>
      <c r="AB47" s="30" t="s">
        <v>430</v>
      </c>
      <c r="AC47" s="30" t="s">
        <v>432</v>
      </c>
      <c r="AD47" s="30" t="s">
        <v>433</v>
      </c>
      <c r="AE47" s="30" t="s">
        <v>434</v>
      </c>
      <c r="AF47" s="30" t="s">
        <v>435</v>
      </c>
      <c r="AG47" s="30" t="s">
        <v>420</v>
      </c>
      <c r="AH47" s="30" t="s">
        <v>436</v>
      </c>
    </row>
    <row r="48" spans="1:34" ht="11.25" customHeight="1" x14ac:dyDescent="0.25">
      <c r="A48" s="9" t="s">
        <v>39</v>
      </c>
      <c r="B48" s="9" t="s">
        <v>865</v>
      </c>
      <c r="C48" s="9" t="s">
        <v>866</v>
      </c>
      <c r="D48" s="9" t="s">
        <v>867</v>
      </c>
      <c r="E48" s="9" t="s">
        <v>868</v>
      </c>
      <c r="F48" s="9" t="s">
        <v>869</v>
      </c>
      <c r="G48" s="9" t="s">
        <v>870</v>
      </c>
      <c r="L48" s="26">
        <f>$I$5*$L$5</f>
        <v>0</v>
      </c>
      <c r="M48" s="26">
        <f>$I$5*$M$5</f>
        <v>0</v>
      </c>
      <c r="N48" s="26">
        <f>$I$5*$N$5</f>
        <v>0</v>
      </c>
      <c r="O48" s="26">
        <f>$I$5*$O$5</f>
        <v>0</v>
      </c>
      <c r="P48" s="26">
        <f>$I$5*$P$5</f>
        <v>0</v>
      </c>
      <c r="Q48" s="26">
        <f>$I$5*$Q$5</f>
        <v>7187.2761102726727</v>
      </c>
      <c r="R48" s="26">
        <f>$I$5*$R$5</f>
        <v>0</v>
      </c>
      <c r="S48" s="26">
        <f>$I$5*$S$5</f>
        <v>0</v>
      </c>
      <c r="T48" s="26">
        <f>$I$5*$T$5</f>
        <v>0</v>
      </c>
      <c r="U48" s="26">
        <f>$I$5*$U$5</f>
        <v>-103.30181970005121</v>
      </c>
      <c r="V48" s="26">
        <f>$I$5*$V$5</f>
        <v>0</v>
      </c>
      <c r="X48" s="26">
        <f>$I$5*$X$5</f>
        <v>0</v>
      </c>
      <c r="Y48" s="26">
        <f>$I$5*$Y$5</f>
        <v>0</v>
      </c>
      <c r="Z48" s="26">
        <f>$I$5*$Z$5</f>
        <v>0</v>
      </c>
      <c r="AA48" s="26">
        <f>$I$5*$AA$5</f>
        <v>0</v>
      </c>
      <c r="AB48" s="26">
        <f>$I$5*$AB$5</f>
        <v>0</v>
      </c>
      <c r="AC48" s="26">
        <f>$I$5*$AC$5</f>
        <v>8023.5146767098031</v>
      </c>
      <c r="AD48" s="26">
        <f>$I$5*$AD$5</f>
        <v>0</v>
      </c>
      <c r="AE48" s="26">
        <f>$I$5*$AE$5</f>
        <v>0</v>
      </c>
      <c r="AF48" s="26">
        <f>$I$5*$AF$5</f>
        <v>0</v>
      </c>
      <c r="AG48" s="26">
        <f>$I$5*$AG$5</f>
        <v>0</v>
      </c>
      <c r="AH48" s="26">
        <f>$I$5*$AH$5</f>
        <v>0</v>
      </c>
    </row>
    <row r="49" spans="1:34" ht="11.25" customHeight="1" x14ac:dyDescent="0.25">
      <c r="A49" s="9" t="s">
        <v>39</v>
      </c>
      <c r="B49" s="9" t="s">
        <v>865</v>
      </c>
      <c r="C49" s="9" t="s">
        <v>866</v>
      </c>
      <c r="D49" s="9" t="s">
        <v>867</v>
      </c>
      <c r="E49" s="9" t="s">
        <v>868</v>
      </c>
      <c r="F49" s="9" t="s">
        <v>869</v>
      </c>
      <c r="G49" s="9" t="s">
        <v>871</v>
      </c>
      <c r="L49" s="26">
        <f>$I$6*$L$6</f>
        <v>0</v>
      </c>
      <c r="M49" s="26">
        <f>$I$6*$M$6</f>
        <v>0</v>
      </c>
      <c r="N49" s="26">
        <f>$I$6*$N$6</f>
        <v>0</v>
      </c>
      <c r="O49" s="26">
        <f>$I$6*$O$6</f>
        <v>0</v>
      </c>
      <c r="P49" s="26">
        <f>$I$6*$P$6</f>
        <v>0</v>
      </c>
      <c r="Q49" s="26">
        <f>$I$6*$Q$6</f>
        <v>146990.5695729063</v>
      </c>
      <c r="R49" s="26">
        <f>$I$6*$R$6</f>
        <v>0</v>
      </c>
      <c r="S49" s="26">
        <f>$I$6*$S$6</f>
        <v>0</v>
      </c>
      <c r="T49" s="26">
        <f>$I$6*$T$6</f>
        <v>0</v>
      </c>
      <c r="U49" s="26">
        <f>$I$6*$U$6</f>
        <v>-2112.6770535398464</v>
      </c>
      <c r="V49" s="26">
        <f>$I$6*$V$6</f>
        <v>0</v>
      </c>
      <c r="X49" s="26">
        <f>$I$6*$X$6</f>
        <v>0</v>
      </c>
      <c r="Y49" s="26">
        <f>$I$6*$Y$6</f>
        <v>0</v>
      </c>
      <c r="Z49" s="26">
        <f>$I$6*$Z$6</f>
        <v>0</v>
      </c>
      <c r="AA49" s="26">
        <f>$I$6*$AA$6</f>
        <v>0</v>
      </c>
      <c r="AB49" s="26">
        <f>$I$6*$AB$6</f>
        <v>0</v>
      </c>
      <c r="AC49" s="26">
        <f>$I$6*$AC$6</f>
        <v>164092.90170729274</v>
      </c>
      <c r="AD49" s="26">
        <f>$I$6*$AD$6</f>
        <v>0</v>
      </c>
      <c r="AE49" s="26">
        <f>$I$6*$AE$6</f>
        <v>0</v>
      </c>
      <c r="AF49" s="26">
        <f>$I$6*$AF$6</f>
        <v>0</v>
      </c>
      <c r="AG49" s="26">
        <f>$I$6*$AG$6</f>
        <v>0</v>
      </c>
      <c r="AH49" s="26">
        <f>$I$6*$AH$6</f>
        <v>0</v>
      </c>
    </row>
    <row r="50" spans="1:34" ht="11.25" customHeight="1" x14ac:dyDescent="0.25">
      <c r="A50" s="9" t="s">
        <v>39</v>
      </c>
      <c r="B50" s="9" t="s">
        <v>872</v>
      </c>
      <c r="C50" s="9" t="s">
        <v>873</v>
      </c>
      <c r="D50" s="9" t="s">
        <v>874</v>
      </c>
      <c r="E50" s="9" t="s">
        <v>875</v>
      </c>
      <c r="F50" s="9" t="s">
        <v>876</v>
      </c>
      <c r="G50" s="9" t="s">
        <v>877</v>
      </c>
      <c r="L50" s="26">
        <f>$I$7*$L$7</f>
        <v>0</v>
      </c>
      <c r="M50" s="26">
        <f>$I$7*$M$7</f>
        <v>0</v>
      </c>
      <c r="N50" s="26">
        <f>$I$7*$N$7</f>
        <v>0</v>
      </c>
      <c r="O50" s="26">
        <f>$I$7*$O$7</f>
        <v>0</v>
      </c>
      <c r="P50" s="26">
        <f>$I$7*$P$7</f>
        <v>0</v>
      </c>
      <c r="Q50" s="26">
        <f>$I$7*$Q$7</f>
        <v>0</v>
      </c>
      <c r="R50" s="26">
        <f>$I$7*$R$7</f>
        <v>0</v>
      </c>
      <c r="S50" s="26">
        <f>$I$7*$S$7</f>
        <v>0</v>
      </c>
      <c r="T50" s="26">
        <f>$I$7*$T$7</f>
        <v>0</v>
      </c>
      <c r="U50" s="26">
        <f>$I$7*$U$7</f>
        <v>0</v>
      </c>
      <c r="V50" s="26">
        <f>$I$7*$V$7</f>
        <v>0</v>
      </c>
      <c r="X50" s="26">
        <f>$I$7*$X$7</f>
        <v>0</v>
      </c>
      <c r="Y50" s="26">
        <f>$I$7*$Y$7</f>
        <v>0</v>
      </c>
      <c r="Z50" s="26">
        <f>$I$7*$Z$7</f>
        <v>0</v>
      </c>
      <c r="AA50" s="26">
        <f>$I$7*$AA$7</f>
        <v>0</v>
      </c>
      <c r="AB50" s="26">
        <f>$I$7*$AB$7</f>
        <v>0</v>
      </c>
      <c r="AC50" s="26">
        <f>$I$7*$AC$7</f>
        <v>0</v>
      </c>
      <c r="AD50" s="26">
        <f>$I$7*$AD$7</f>
        <v>0</v>
      </c>
      <c r="AE50" s="26">
        <f>$I$7*$AE$7</f>
        <v>0</v>
      </c>
      <c r="AF50" s="26">
        <f>$I$7*$AF$7</f>
        <v>0</v>
      </c>
      <c r="AG50" s="26">
        <f>$I$7*$AG$7</f>
        <v>0</v>
      </c>
      <c r="AH50" s="26">
        <f>$I$7*$AH$7</f>
        <v>0</v>
      </c>
    </row>
    <row r="51" spans="1:34" ht="11.25" customHeight="1" x14ac:dyDescent="0.25">
      <c r="A51" s="9" t="s">
        <v>22</v>
      </c>
      <c r="B51" s="9" t="s">
        <v>878</v>
      </c>
      <c r="C51" s="9" t="s">
        <v>879</v>
      </c>
      <c r="D51" s="9" t="s">
        <v>880</v>
      </c>
      <c r="E51" s="9" t="s">
        <v>881</v>
      </c>
      <c r="F51" s="9" t="s">
        <v>882</v>
      </c>
      <c r="G51" s="9" t="s">
        <v>883</v>
      </c>
      <c r="L51" s="26">
        <f>$I$8*$L$8</f>
        <v>0</v>
      </c>
      <c r="M51" s="26">
        <f>$I$8*$M$8</f>
        <v>0</v>
      </c>
      <c r="N51" s="26">
        <f>$I$8*$N$8</f>
        <v>0</v>
      </c>
      <c r="O51" s="26">
        <f>$I$8*$O$8</f>
        <v>0</v>
      </c>
      <c r="P51" s="26">
        <f>$I$8*$P$8</f>
        <v>0</v>
      </c>
      <c r="Q51" s="26">
        <f>$I$8*$Q$8</f>
        <v>26.696541991348756</v>
      </c>
      <c r="R51" s="26">
        <f>$I$8*$R$8</f>
        <v>0</v>
      </c>
      <c r="S51" s="26">
        <f>$I$8*$S$8</f>
        <v>0</v>
      </c>
      <c r="T51" s="26">
        <f>$I$8*$T$8</f>
        <v>0</v>
      </c>
      <c r="U51" s="26">
        <f>$I$8*$U$8</f>
        <v>-0.38370605568686428</v>
      </c>
      <c r="V51" s="26">
        <f>$I$8*$V$8</f>
        <v>0</v>
      </c>
      <c r="X51" s="26">
        <f>$I$8*$X$8</f>
        <v>0</v>
      </c>
      <c r="Y51" s="26">
        <f>$I$8*$Y$8</f>
        <v>0</v>
      </c>
      <c r="Z51" s="26">
        <f>$I$8*$Z$8</f>
        <v>0</v>
      </c>
      <c r="AA51" s="26">
        <f>$I$8*$AA$8</f>
        <v>0</v>
      </c>
      <c r="AB51" s="26">
        <f>$I$8*$AB$8</f>
        <v>0</v>
      </c>
      <c r="AC51" s="26">
        <f>$I$8*$AC$8</f>
        <v>29.802680904220878</v>
      </c>
      <c r="AD51" s="26">
        <f>$I$8*$AD$8</f>
        <v>0</v>
      </c>
      <c r="AE51" s="26">
        <f>$I$8*$AE$8</f>
        <v>0</v>
      </c>
      <c r="AF51" s="26">
        <f>$I$8*$AF$8</f>
        <v>0</v>
      </c>
      <c r="AG51" s="26">
        <f>$I$8*$AG$8</f>
        <v>0</v>
      </c>
      <c r="AH51" s="26">
        <f>$I$8*$AH$8</f>
        <v>0</v>
      </c>
    </row>
    <row r="52" spans="1:34" ht="11.25" customHeight="1" x14ac:dyDescent="0.25">
      <c r="A52" s="9" t="s">
        <v>22</v>
      </c>
      <c r="B52" s="9" t="s">
        <v>878</v>
      </c>
      <c r="C52" s="9" t="s">
        <v>879</v>
      </c>
      <c r="D52" s="9" t="s">
        <v>880</v>
      </c>
      <c r="E52" s="9" t="s">
        <v>881</v>
      </c>
      <c r="F52" s="9" t="s">
        <v>882</v>
      </c>
      <c r="G52" s="9" t="s">
        <v>884</v>
      </c>
      <c r="L52" s="26">
        <f>$I$9*$L$9</f>
        <v>0</v>
      </c>
      <c r="M52" s="26">
        <f>$I$9*$M$9</f>
        <v>0</v>
      </c>
      <c r="N52" s="26">
        <f>$I$9*$N$9</f>
        <v>0</v>
      </c>
      <c r="O52" s="26">
        <f>$I$9*$O$9</f>
        <v>0</v>
      </c>
      <c r="P52" s="26">
        <f>$I$9*$P$9</f>
        <v>0</v>
      </c>
      <c r="Q52" s="26">
        <f>$I$9*$Q$9</f>
        <v>34.847256139149934</v>
      </c>
      <c r="R52" s="26">
        <f>$I$9*$R$9</f>
        <v>0</v>
      </c>
      <c r="S52" s="26">
        <f>$I$9*$S$9</f>
        <v>0</v>
      </c>
      <c r="T52" s="26">
        <f>$I$9*$T$9</f>
        <v>0</v>
      </c>
      <c r="U52" s="26">
        <f>$I$9*$U$9</f>
        <v>-0.50085524967975659</v>
      </c>
      <c r="V52" s="26">
        <f>$I$9*$V$9</f>
        <v>0</v>
      </c>
      <c r="X52" s="26">
        <f>$I$9*$X$9</f>
        <v>0</v>
      </c>
      <c r="Y52" s="26">
        <f>$I$9*$Y$9</f>
        <v>0</v>
      </c>
      <c r="Z52" s="26">
        <f>$I$9*$Z$9</f>
        <v>0</v>
      </c>
      <c r="AA52" s="26">
        <f>$I$9*$AA$9</f>
        <v>0</v>
      </c>
      <c r="AB52" s="26">
        <f>$I$9*$AB$9</f>
        <v>0</v>
      </c>
      <c r="AC52" s="26">
        <f>$I$9*$AC$9</f>
        <v>38.901729498872392</v>
      </c>
      <c r="AD52" s="26">
        <f>$I$9*$AD$9</f>
        <v>0</v>
      </c>
      <c r="AE52" s="26">
        <f>$I$9*$AE$9</f>
        <v>0</v>
      </c>
      <c r="AF52" s="26">
        <f>$I$9*$AF$9</f>
        <v>0</v>
      </c>
      <c r="AG52" s="26">
        <f>$I$9*$AG$9</f>
        <v>0</v>
      </c>
      <c r="AH52" s="26">
        <f>$I$9*$AH$9</f>
        <v>0</v>
      </c>
    </row>
    <row r="53" spans="1:34" ht="11.25" customHeight="1" x14ac:dyDescent="0.25">
      <c r="A53" s="9" t="s">
        <v>22</v>
      </c>
      <c r="B53" s="9" t="s">
        <v>878</v>
      </c>
      <c r="C53" s="9" t="s">
        <v>879</v>
      </c>
      <c r="D53" s="9" t="s">
        <v>880</v>
      </c>
      <c r="E53" s="9" t="s">
        <v>881</v>
      </c>
      <c r="F53" s="9" t="s">
        <v>882</v>
      </c>
      <c r="G53" s="9" t="s">
        <v>885</v>
      </c>
      <c r="L53" s="26">
        <f>$I$10*$L$10</f>
        <v>0</v>
      </c>
      <c r="M53" s="26">
        <f>$I$10*$M$10</f>
        <v>0</v>
      </c>
      <c r="N53" s="26">
        <f>$I$10*$N$10</f>
        <v>0</v>
      </c>
      <c r="O53" s="26">
        <f>$I$10*$O$10</f>
        <v>0</v>
      </c>
      <c r="P53" s="26">
        <f>$I$10*$P$10</f>
        <v>0</v>
      </c>
      <c r="Q53" s="26">
        <f>$I$10*$Q$10</f>
        <v>261.17723160562878</v>
      </c>
      <c r="R53" s="26">
        <f>$I$10*$R$10</f>
        <v>0</v>
      </c>
      <c r="S53" s="26">
        <f>$I$10*$S$10</f>
        <v>0</v>
      </c>
      <c r="T53" s="26">
        <f>$I$10*$T$10</f>
        <v>0</v>
      </c>
      <c r="U53" s="26">
        <f>$I$10*$U$10</f>
        <v>-3.7538676509896325</v>
      </c>
      <c r="V53" s="26">
        <f>$I$10*$V$10</f>
        <v>0</v>
      </c>
      <c r="X53" s="26">
        <f>$I$10*$X$10</f>
        <v>0</v>
      </c>
      <c r="Y53" s="26">
        <f>$I$10*$Y$10</f>
        <v>0</v>
      </c>
      <c r="Z53" s="26">
        <f>$I$10*$Z$10</f>
        <v>0</v>
      </c>
      <c r="AA53" s="26">
        <f>$I$10*$AA$10</f>
        <v>0</v>
      </c>
      <c r="AB53" s="26">
        <f>$I$10*$AB$10</f>
        <v>0</v>
      </c>
      <c r="AC53" s="26">
        <f>$I$10*$AC$10</f>
        <v>291.56516583731133</v>
      </c>
      <c r="AD53" s="26">
        <f>$I$10*$AD$10</f>
        <v>0</v>
      </c>
      <c r="AE53" s="26">
        <f>$I$10*$AE$10</f>
        <v>0</v>
      </c>
      <c r="AF53" s="26">
        <f>$I$10*$AF$10</f>
        <v>0</v>
      </c>
      <c r="AG53" s="26">
        <f>$I$10*$AG$10</f>
        <v>0</v>
      </c>
      <c r="AH53" s="26">
        <f>$I$10*$AH$10</f>
        <v>0</v>
      </c>
    </row>
    <row r="54" spans="1:34" ht="11.25" customHeight="1" x14ac:dyDescent="0.25">
      <c r="A54" s="9" t="s">
        <v>22</v>
      </c>
      <c r="B54" s="9" t="s">
        <v>886</v>
      </c>
      <c r="C54" s="9" t="s">
        <v>887</v>
      </c>
      <c r="D54" s="9" t="s">
        <v>888</v>
      </c>
      <c r="E54" s="9" t="s">
        <v>889</v>
      </c>
      <c r="F54" s="9" t="s">
        <v>890</v>
      </c>
      <c r="G54" s="9" t="s">
        <v>891</v>
      </c>
      <c r="L54" s="26">
        <f>$I$11*$L$11</f>
        <v>0</v>
      </c>
      <c r="M54" s="26">
        <f>$I$11*$M$11</f>
        <v>0</v>
      </c>
      <c r="N54" s="26">
        <f>$I$11*$N$11</f>
        <v>0</v>
      </c>
      <c r="O54" s="26">
        <f>$I$11*$O$11</f>
        <v>0</v>
      </c>
      <c r="P54" s="26">
        <f>$I$11*$P$11</f>
        <v>0</v>
      </c>
      <c r="Q54" s="26">
        <f>$I$11*$Q$11</f>
        <v>1396989.1707102496</v>
      </c>
      <c r="R54" s="26">
        <f>$I$11*$R$11</f>
        <v>0</v>
      </c>
      <c r="S54" s="26">
        <f>$I$11*$S$11</f>
        <v>0</v>
      </c>
      <c r="T54" s="26">
        <f>$I$11*$T$11</f>
        <v>0</v>
      </c>
      <c r="U54" s="26">
        <f>$I$11*$U$11</f>
        <v>-20078.750450309239</v>
      </c>
      <c r="V54" s="26">
        <f>$I$11*$V$11</f>
        <v>0</v>
      </c>
      <c r="X54" s="26">
        <f>$I$11*$X$11</f>
        <v>0</v>
      </c>
      <c r="Y54" s="26">
        <f>$I$11*$Y$11</f>
        <v>0</v>
      </c>
      <c r="Z54" s="26">
        <f>$I$11*$Z$11</f>
        <v>0</v>
      </c>
      <c r="AA54" s="26">
        <f>$I$11*$AA$11</f>
        <v>0</v>
      </c>
      <c r="AB54" s="26">
        <f>$I$11*$AB$11</f>
        <v>0</v>
      </c>
      <c r="AC54" s="26">
        <f>$I$11*$AC$11</f>
        <v>1559528.6646046359</v>
      </c>
      <c r="AD54" s="26">
        <f>$I$11*$AD$11</f>
        <v>0</v>
      </c>
      <c r="AE54" s="26">
        <f>$I$11*$AE$11</f>
        <v>0</v>
      </c>
      <c r="AF54" s="26">
        <f>$I$11*$AF$11</f>
        <v>0</v>
      </c>
      <c r="AG54" s="26">
        <f>$I$11*$AG$11</f>
        <v>0</v>
      </c>
      <c r="AH54" s="26">
        <f>$I$11*$AH$11</f>
        <v>0</v>
      </c>
    </row>
    <row r="55" spans="1:34" ht="11.25" customHeight="1" x14ac:dyDescent="0.25">
      <c r="A55" s="9" t="s">
        <v>22</v>
      </c>
      <c r="B55" s="9" t="s">
        <v>886</v>
      </c>
      <c r="C55" s="9" t="s">
        <v>887</v>
      </c>
      <c r="D55" s="9" t="s">
        <v>892</v>
      </c>
      <c r="E55" s="9" t="s">
        <v>893</v>
      </c>
      <c r="F55" s="9" t="s">
        <v>894</v>
      </c>
      <c r="G55" s="9" t="s">
        <v>895</v>
      </c>
      <c r="L55" s="26">
        <f>$I$12*$L$12</f>
        <v>0</v>
      </c>
      <c r="M55" s="26">
        <f>$I$12*$M$12</f>
        <v>0</v>
      </c>
      <c r="N55" s="26">
        <f>$I$12*$N$12</f>
        <v>0</v>
      </c>
      <c r="O55" s="26">
        <f>$I$12*$O$12</f>
        <v>0</v>
      </c>
      <c r="P55" s="26">
        <f>$I$12*$P$12</f>
        <v>0</v>
      </c>
      <c r="Q55" s="26">
        <f>$I$12*$Q$12</f>
        <v>4611.5323132755047</v>
      </c>
      <c r="R55" s="26">
        <f>$I$12*$R$12</f>
        <v>0</v>
      </c>
      <c r="S55" s="26">
        <f>$I$12*$S$12</f>
        <v>0</v>
      </c>
      <c r="T55" s="26">
        <f>$I$12*$T$12</f>
        <v>0</v>
      </c>
      <c r="U55" s="26">
        <f>$I$12*$U$12</f>
        <v>-66.280976583891572</v>
      </c>
      <c r="V55" s="26">
        <f>$I$12*$V$12</f>
        <v>0</v>
      </c>
      <c r="X55" s="26">
        <f>$I$12*$X$12</f>
        <v>0</v>
      </c>
      <c r="Y55" s="26">
        <f>$I$12*$Y$12</f>
        <v>0</v>
      </c>
      <c r="Z55" s="26">
        <f>$I$12*$Z$12</f>
        <v>0</v>
      </c>
      <c r="AA55" s="26">
        <f>$I$12*$AA$12</f>
        <v>0</v>
      </c>
      <c r="AB55" s="26">
        <f>$I$12*$AB$12</f>
        <v>0</v>
      </c>
      <c r="AC55" s="26">
        <f>$I$12*$AC$12</f>
        <v>5148.0834505304429</v>
      </c>
      <c r="AD55" s="26">
        <f>$I$12*$AD$12</f>
        <v>0</v>
      </c>
      <c r="AE55" s="26">
        <f>$I$12*$AE$12</f>
        <v>0</v>
      </c>
      <c r="AF55" s="26">
        <f>$I$12*$AF$12</f>
        <v>0</v>
      </c>
      <c r="AG55" s="26">
        <f>$I$12*$AG$12</f>
        <v>0</v>
      </c>
      <c r="AH55" s="26">
        <f>$I$12*$AH$12</f>
        <v>0</v>
      </c>
    </row>
    <row r="56" spans="1:34" ht="11.25" customHeight="1" x14ac:dyDescent="0.25">
      <c r="A56" s="9" t="s">
        <v>22</v>
      </c>
      <c r="B56" s="9" t="s">
        <v>886</v>
      </c>
      <c r="C56" s="9" t="s">
        <v>887</v>
      </c>
      <c r="D56" s="9" t="s">
        <v>896</v>
      </c>
      <c r="E56" s="9" t="s">
        <v>897</v>
      </c>
      <c r="F56" s="9" t="s">
        <v>898</v>
      </c>
      <c r="G56" s="9" t="s">
        <v>899</v>
      </c>
      <c r="L56" s="26">
        <f>$I$13*$L$13</f>
        <v>0</v>
      </c>
      <c r="M56" s="26">
        <f>$I$13*$M$13</f>
        <v>0</v>
      </c>
      <c r="N56" s="26">
        <f>$I$13*$N$13</f>
        <v>0</v>
      </c>
      <c r="O56" s="26">
        <f>$I$13*$O$13</f>
        <v>0</v>
      </c>
      <c r="P56" s="26">
        <f>$I$13*$P$13</f>
        <v>0</v>
      </c>
      <c r="Q56" s="26">
        <f>$I$13*$Q$13</f>
        <v>15640.511691878462</v>
      </c>
      <c r="R56" s="26">
        <f>$I$13*$R$13</f>
        <v>0</v>
      </c>
      <c r="S56" s="26">
        <f>$I$13*$S$13</f>
        <v>0</v>
      </c>
      <c r="T56" s="26">
        <f>$I$13*$T$13</f>
        <v>0</v>
      </c>
      <c r="U56" s="26">
        <f>$I$13*$U$13</f>
        <v>-224.79911638592597</v>
      </c>
      <c r="V56" s="26">
        <f>$I$13*$V$13</f>
        <v>0</v>
      </c>
      <c r="X56" s="26">
        <f>$I$13*$X$13</f>
        <v>0</v>
      </c>
      <c r="Y56" s="26">
        <f>$I$13*$Y$13</f>
        <v>0</v>
      </c>
      <c r="Z56" s="26">
        <f>$I$13*$Z$13</f>
        <v>0</v>
      </c>
      <c r="AA56" s="26">
        <f>$I$13*$AA$13</f>
        <v>0</v>
      </c>
      <c r="AB56" s="26">
        <f>$I$13*$AB$13</f>
        <v>0</v>
      </c>
      <c r="AC56" s="26">
        <f>$I$13*$AC$13</f>
        <v>17460.283031519317</v>
      </c>
      <c r="AD56" s="26">
        <f>$I$13*$AD$13</f>
        <v>0</v>
      </c>
      <c r="AE56" s="26">
        <f>$I$13*$AE$13</f>
        <v>0</v>
      </c>
      <c r="AF56" s="26">
        <f>$I$13*$AF$13</f>
        <v>0</v>
      </c>
      <c r="AG56" s="26">
        <f>$I$13*$AG$13</f>
        <v>0</v>
      </c>
      <c r="AH56" s="26">
        <f>$I$13*$AH$13</f>
        <v>0</v>
      </c>
    </row>
    <row r="57" spans="1:34" ht="11.25" customHeight="1" x14ac:dyDescent="0.25">
      <c r="A57" s="9" t="s">
        <v>22</v>
      </c>
      <c r="B57" s="9" t="s">
        <v>886</v>
      </c>
      <c r="C57" s="9" t="s">
        <v>887</v>
      </c>
      <c r="D57" s="9" t="s">
        <v>900</v>
      </c>
      <c r="E57" s="9" t="s">
        <v>901</v>
      </c>
      <c r="F57" s="9" t="s">
        <v>902</v>
      </c>
      <c r="G57" s="9" t="s">
        <v>903</v>
      </c>
      <c r="L57" s="26">
        <f>$I$14*$L$14</f>
        <v>0</v>
      </c>
      <c r="M57" s="26">
        <f>$I$14*$M$14</f>
        <v>0</v>
      </c>
      <c r="N57" s="26">
        <f>$I$14*$N$14</f>
        <v>0</v>
      </c>
      <c r="O57" s="26">
        <f>$I$14*$O$14</f>
        <v>0</v>
      </c>
      <c r="P57" s="26">
        <f>$I$14*$P$14</f>
        <v>0</v>
      </c>
      <c r="Q57" s="26">
        <f>$I$14*$Q$14</f>
        <v>21818.43407492336</v>
      </c>
      <c r="R57" s="26">
        <f>$I$14*$R$14</f>
        <v>0</v>
      </c>
      <c r="S57" s="26">
        <f>$I$14*$S$14</f>
        <v>0</v>
      </c>
      <c r="T57" s="26">
        <f>$I$14*$T$14</f>
        <v>0</v>
      </c>
      <c r="U57" s="26">
        <f>$I$14*$U$14</f>
        <v>-313.59362133364294</v>
      </c>
      <c r="V57" s="26">
        <f>$I$14*$V$14</f>
        <v>0</v>
      </c>
      <c r="X57" s="26">
        <f>$I$14*$X$14</f>
        <v>0</v>
      </c>
      <c r="Y57" s="26">
        <f>$I$14*$Y$14</f>
        <v>0</v>
      </c>
      <c r="Z57" s="26">
        <f>$I$14*$Z$14</f>
        <v>0</v>
      </c>
      <c r="AA57" s="26">
        <f>$I$14*$AA$14</f>
        <v>0</v>
      </c>
      <c r="AB57" s="26">
        <f>$I$14*$AB$14</f>
        <v>0</v>
      </c>
      <c r="AC57" s="26">
        <f>$I$14*$AC$14</f>
        <v>24357.005816537607</v>
      </c>
      <c r="AD57" s="26">
        <f>$I$14*$AD$14</f>
        <v>0</v>
      </c>
      <c r="AE57" s="26">
        <f>$I$14*$AE$14</f>
        <v>0</v>
      </c>
      <c r="AF57" s="26">
        <f>$I$14*$AF$14</f>
        <v>0</v>
      </c>
      <c r="AG57" s="26">
        <f>$I$14*$AG$14</f>
        <v>0</v>
      </c>
      <c r="AH57" s="26">
        <f>$I$14*$AH$14</f>
        <v>0</v>
      </c>
    </row>
    <row r="58" spans="1:34" ht="11.25" customHeight="1" x14ac:dyDescent="0.25">
      <c r="A58" s="9" t="s">
        <v>22</v>
      </c>
      <c r="B58" s="9" t="s">
        <v>886</v>
      </c>
      <c r="C58" s="9" t="s">
        <v>887</v>
      </c>
      <c r="D58" s="9" t="s">
        <v>904</v>
      </c>
      <c r="E58" s="9" t="s">
        <v>905</v>
      </c>
      <c r="F58" s="9" t="s">
        <v>906</v>
      </c>
      <c r="G58" s="9" t="s">
        <v>907</v>
      </c>
      <c r="L58" s="26">
        <f>$I$15*$L$15</f>
        <v>0</v>
      </c>
      <c r="M58" s="26">
        <f>$I$15*$M$15</f>
        <v>0</v>
      </c>
      <c r="N58" s="26">
        <f>$I$15*$N$15</f>
        <v>0</v>
      </c>
      <c r="O58" s="26">
        <f>$I$15*$O$15</f>
        <v>0</v>
      </c>
      <c r="P58" s="26">
        <f>$I$15*$P$15</f>
        <v>0</v>
      </c>
      <c r="Q58" s="26">
        <f>$I$15*$Q$15</f>
        <v>8896.0910503029863</v>
      </c>
      <c r="R58" s="26">
        <f>$I$15*$R$15</f>
        <v>0</v>
      </c>
      <c r="S58" s="26">
        <f>$I$15*$S$15</f>
        <v>0</v>
      </c>
      <c r="T58" s="26">
        <f>$I$15*$T$15</f>
        <v>0</v>
      </c>
      <c r="U58" s="26">
        <f>$I$15*$U$15</f>
        <v>-127.8624028928219</v>
      </c>
      <c r="V58" s="26">
        <f>$I$15*$V$15</f>
        <v>0</v>
      </c>
      <c r="X58" s="26">
        <f>$I$15*$X$15</f>
        <v>0</v>
      </c>
      <c r="Y58" s="26">
        <f>$I$15*$Y$15</f>
        <v>0</v>
      </c>
      <c r="Z58" s="26">
        <f>$I$15*$Z$15</f>
        <v>0</v>
      </c>
      <c r="AA58" s="26">
        <f>$I$15*$AA$15</f>
        <v>0</v>
      </c>
      <c r="AB58" s="26">
        <f>$I$15*$AB$15</f>
        <v>0</v>
      </c>
      <c r="AC58" s="26">
        <f>$I$15*$AC$15</f>
        <v>9931.1499951189144</v>
      </c>
      <c r="AD58" s="26">
        <f>$I$15*$AD$15</f>
        <v>0</v>
      </c>
      <c r="AE58" s="26">
        <f>$I$15*$AE$15</f>
        <v>0</v>
      </c>
      <c r="AF58" s="26">
        <f>$I$15*$AF$15</f>
        <v>0</v>
      </c>
      <c r="AG58" s="26">
        <f>$I$15*$AG$15</f>
        <v>0</v>
      </c>
      <c r="AH58" s="26">
        <f>$I$15*$AH$15</f>
        <v>0</v>
      </c>
    </row>
    <row r="59" spans="1:34" ht="11.25" customHeight="1" x14ac:dyDescent="0.25">
      <c r="A59" s="9" t="s">
        <v>22</v>
      </c>
      <c r="B59" s="9" t="s">
        <v>908</v>
      </c>
      <c r="C59" s="9" t="s">
        <v>909</v>
      </c>
      <c r="D59" s="9" t="s">
        <v>910</v>
      </c>
      <c r="E59" s="9" t="s">
        <v>911</v>
      </c>
      <c r="F59" s="9" t="s">
        <v>912</v>
      </c>
      <c r="G59" s="9" t="s">
        <v>913</v>
      </c>
      <c r="L59" s="26">
        <f>$I$16*$L$16</f>
        <v>0</v>
      </c>
      <c r="M59" s="26">
        <f>$I$16*$M$16</f>
        <v>0</v>
      </c>
      <c r="N59" s="26">
        <f>$I$16*$N$16</f>
        <v>0</v>
      </c>
      <c r="O59" s="26">
        <f>$I$16*$O$16</f>
        <v>0</v>
      </c>
      <c r="P59" s="26">
        <f>$I$16*$P$16</f>
        <v>0</v>
      </c>
      <c r="Q59" s="26">
        <f>$I$16*$Q$16</f>
        <v>0</v>
      </c>
      <c r="R59" s="26">
        <f>$I$16*$R$16</f>
        <v>0</v>
      </c>
      <c r="S59" s="26">
        <f>$I$16*$S$16</f>
        <v>0</v>
      </c>
      <c r="T59" s="26">
        <f>$I$16*$T$16</f>
        <v>0</v>
      </c>
      <c r="U59" s="26">
        <f>$I$16*$U$16</f>
        <v>0</v>
      </c>
      <c r="V59" s="26">
        <f>$I$16*$V$16</f>
        <v>0</v>
      </c>
      <c r="X59" s="26">
        <f>$I$16*$X$16</f>
        <v>0</v>
      </c>
      <c r="Y59" s="26">
        <f>$I$16*$Y$16</f>
        <v>0</v>
      </c>
      <c r="Z59" s="26">
        <f>$I$16*$Z$16</f>
        <v>0</v>
      </c>
      <c r="AA59" s="26">
        <f>$I$16*$AA$16</f>
        <v>0</v>
      </c>
      <c r="AB59" s="26">
        <f>$I$16*$AB$16</f>
        <v>0</v>
      </c>
      <c r="AC59" s="26">
        <f>$I$16*$AC$16</f>
        <v>0</v>
      </c>
      <c r="AD59" s="26">
        <f>$I$16*$AD$16</f>
        <v>0</v>
      </c>
      <c r="AE59" s="26">
        <f>$I$16*$AE$16</f>
        <v>0</v>
      </c>
      <c r="AF59" s="26">
        <f>$I$16*$AF$16</f>
        <v>0</v>
      </c>
      <c r="AG59" s="26">
        <f>$I$16*$AG$16</f>
        <v>0</v>
      </c>
      <c r="AH59" s="26">
        <f>$I$16*$AH$16</f>
        <v>0</v>
      </c>
    </row>
    <row r="60" spans="1:34" ht="11.25" customHeight="1" x14ac:dyDescent="0.25">
      <c r="A60" s="9" t="s">
        <v>22</v>
      </c>
      <c r="B60" s="9" t="s">
        <v>908</v>
      </c>
      <c r="C60" s="9" t="s">
        <v>909</v>
      </c>
      <c r="D60" s="9" t="s">
        <v>914</v>
      </c>
      <c r="E60" s="9" t="s">
        <v>915</v>
      </c>
      <c r="F60" s="9" t="s">
        <v>916</v>
      </c>
      <c r="G60" s="9" t="s">
        <v>917</v>
      </c>
      <c r="L60" s="26">
        <f>$I$17*$L$17</f>
        <v>0</v>
      </c>
      <c r="M60" s="26">
        <f>$I$17*$M$17</f>
        <v>0</v>
      </c>
      <c r="N60" s="26">
        <f>$I$17*$N$17</f>
        <v>0</v>
      </c>
      <c r="O60" s="26">
        <f>$I$17*$O$17</f>
        <v>0</v>
      </c>
      <c r="P60" s="26">
        <f>$I$17*$P$17</f>
        <v>0</v>
      </c>
      <c r="Q60" s="26">
        <f>$I$17*$Q$17</f>
        <v>0</v>
      </c>
      <c r="R60" s="26">
        <f>$I$17*$R$17</f>
        <v>0</v>
      </c>
      <c r="S60" s="26">
        <f>$I$17*$S$17</f>
        <v>0</v>
      </c>
      <c r="T60" s="26">
        <f>$I$17*$T$17</f>
        <v>0</v>
      </c>
      <c r="U60" s="26">
        <f>$I$17*$U$17</f>
        <v>0</v>
      </c>
      <c r="V60" s="26">
        <f>$I$17*$V$17</f>
        <v>0</v>
      </c>
      <c r="X60" s="26">
        <f>$I$17*$X$17</f>
        <v>0</v>
      </c>
      <c r="Y60" s="26">
        <f>$I$17*$Y$17</f>
        <v>0</v>
      </c>
      <c r="Z60" s="26">
        <f>$I$17*$Z$17</f>
        <v>0</v>
      </c>
      <c r="AA60" s="26">
        <f>$I$17*$AA$17</f>
        <v>0</v>
      </c>
      <c r="AB60" s="26">
        <f>$I$17*$AB$17</f>
        <v>0</v>
      </c>
      <c r="AC60" s="26">
        <f>$I$17*$AC$17</f>
        <v>0</v>
      </c>
      <c r="AD60" s="26">
        <f>$I$17*$AD$17</f>
        <v>0</v>
      </c>
      <c r="AE60" s="26">
        <f>$I$17*$AE$17</f>
        <v>0</v>
      </c>
      <c r="AF60" s="26">
        <f>$I$17*$AF$17</f>
        <v>0</v>
      </c>
      <c r="AG60" s="26">
        <f>$I$17*$AG$17</f>
        <v>0</v>
      </c>
      <c r="AH60" s="26">
        <f>$I$17*$AH$17</f>
        <v>0</v>
      </c>
    </row>
    <row r="61" spans="1:34" ht="11.25" customHeight="1" x14ac:dyDescent="0.25">
      <c r="A61" s="9" t="s">
        <v>22</v>
      </c>
      <c r="B61" s="9" t="s">
        <v>908</v>
      </c>
      <c r="C61" s="9" t="s">
        <v>909</v>
      </c>
      <c r="D61" s="9" t="s">
        <v>918</v>
      </c>
      <c r="E61" s="9" t="s">
        <v>919</v>
      </c>
      <c r="F61" s="9" t="s">
        <v>920</v>
      </c>
      <c r="G61" s="9" t="s">
        <v>921</v>
      </c>
      <c r="L61" s="26">
        <f>$I$18*$L$18</f>
        <v>0</v>
      </c>
      <c r="M61" s="26">
        <f>$I$18*$M$18</f>
        <v>0</v>
      </c>
      <c r="N61" s="26">
        <f>$I$18*$N$18</f>
        <v>0</v>
      </c>
      <c r="O61" s="26">
        <f>$I$18*$O$18</f>
        <v>0</v>
      </c>
      <c r="P61" s="26">
        <f>$I$18*$P$18</f>
        <v>0</v>
      </c>
      <c r="Q61" s="26">
        <f>$I$18*$Q$18</f>
        <v>0</v>
      </c>
      <c r="R61" s="26">
        <f>$I$18*$R$18</f>
        <v>0</v>
      </c>
      <c r="S61" s="26">
        <f>$I$18*$S$18</f>
        <v>0</v>
      </c>
      <c r="T61" s="26">
        <f>$I$18*$T$18</f>
        <v>0</v>
      </c>
      <c r="U61" s="26">
        <f>$I$18*$U$18</f>
        <v>0</v>
      </c>
      <c r="V61" s="26">
        <f>$I$18*$V$18</f>
        <v>0</v>
      </c>
      <c r="X61" s="26">
        <f>$I$18*$X$18</f>
        <v>0</v>
      </c>
      <c r="Y61" s="26">
        <f>$I$18*$Y$18</f>
        <v>0</v>
      </c>
      <c r="Z61" s="26">
        <f>$I$18*$Z$18</f>
        <v>0</v>
      </c>
      <c r="AA61" s="26">
        <f>$I$18*$AA$18</f>
        <v>0</v>
      </c>
      <c r="AB61" s="26">
        <f>$I$18*$AB$18</f>
        <v>0</v>
      </c>
      <c r="AC61" s="26">
        <f>$I$18*$AC$18</f>
        <v>0</v>
      </c>
      <c r="AD61" s="26">
        <f>$I$18*$AD$18</f>
        <v>0</v>
      </c>
      <c r="AE61" s="26">
        <f>$I$18*$AE$18</f>
        <v>0</v>
      </c>
      <c r="AF61" s="26">
        <f>$I$18*$AF$18</f>
        <v>0</v>
      </c>
      <c r="AG61" s="26">
        <f>$I$18*$AG$18</f>
        <v>0</v>
      </c>
      <c r="AH61" s="26">
        <f>$I$18*$AH$18</f>
        <v>0</v>
      </c>
    </row>
    <row r="62" spans="1:34" ht="11.25" customHeight="1" x14ac:dyDescent="0.25">
      <c r="A62" s="9" t="s">
        <v>22</v>
      </c>
      <c r="B62" s="9" t="s">
        <v>908</v>
      </c>
      <c r="C62" s="9" t="s">
        <v>909</v>
      </c>
      <c r="D62" s="9" t="s">
        <v>922</v>
      </c>
      <c r="E62" s="9" t="s">
        <v>923</v>
      </c>
      <c r="F62" s="9" t="s">
        <v>924</v>
      </c>
      <c r="G62" s="9" t="s">
        <v>925</v>
      </c>
      <c r="L62" s="26">
        <f>$I$19*$L$19</f>
        <v>0</v>
      </c>
      <c r="M62" s="26">
        <f>$I$19*$M$19</f>
        <v>0</v>
      </c>
      <c r="N62" s="26">
        <f>$I$19*$N$19</f>
        <v>0</v>
      </c>
      <c r="O62" s="26">
        <f>$I$19*$O$19</f>
        <v>0</v>
      </c>
      <c r="P62" s="26">
        <f>$I$19*$P$19</f>
        <v>0</v>
      </c>
      <c r="Q62" s="26">
        <f>$I$19*$Q$19</f>
        <v>0</v>
      </c>
      <c r="R62" s="26">
        <f>$I$19*$R$19</f>
        <v>0</v>
      </c>
      <c r="S62" s="26">
        <f>$I$19*$S$19</f>
        <v>0</v>
      </c>
      <c r="T62" s="26">
        <f>$I$19*$T$19</f>
        <v>0</v>
      </c>
      <c r="U62" s="26">
        <f>$I$19*$U$19</f>
        <v>0</v>
      </c>
      <c r="V62" s="26">
        <f>$I$19*$V$19</f>
        <v>0</v>
      </c>
      <c r="X62" s="26">
        <f>$I$19*$X$19</f>
        <v>0</v>
      </c>
      <c r="Y62" s="26">
        <f>$I$19*$Y$19</f>
        <v>0</v>
      </c>
      <c r="Z62" s="26">
        <f>$I$19*$Z$19</f>
        <v>0</v>
      </c>
      <c r="AA62" s="26">
        <f>$I$19*$AA$19</f>
        <v>0</v>
      </c>
      <c r="AB62" s="26">
        <f>$I$19*$AB$19</f>
        <v>0</v>
      </c>
      <c r="AC62" s="26">
        <f>$I$19*$AC$19</f>
        <v>0</v>
      </c>
      <c r="AD62" s="26">
        <f>$I$19*$AD$19</f>
        <v>0</v>
      </c>
      <c r="AE62" s="26">
        <f>$I$19*$AE$19</f>
        <v>0</v>
      </c>
      <c r="AF62" s="26">
        <f>$I$19*$AF$19</f>
        <v>0</v>
      </c>
      <c r="AG62" s="26">
        <f>$I$19*$AG$19</f>
        <v>0</v>
      </c>
      <c r="AH62" s="26">
        <f>$I$19*$AH$19</f>
        <v>0</v>
      </c>
    </row>
    <row r="63" spans="1:34" ht="11.25" customHeight="1" x14ac:dyDescent="0.25">
      <c r="A63" s="9" t="s">
        <v>22</v>
      </c>
      <c r="B63" s="9" t="s">
        <v>908</v>
      </c>
      <c r="C63" s="9" t="s">
        <v>909</v>
      </c>
      <c r="D63" s="9" t="s">
        <v>926</v>
      </c>
      <c r="E63" s="9" t="s">
        <v>927</v>
      </c>
      <c r="F63" s="9" t="s">
        <v>928</v>
      </c>
      <c r="G63" s="9" t="s">
        <v>929</v>
      </c>
      <c r="L63" s="26">
        <f>$I$20*$L$20</f>
        <v>0</v>
      </c>
      <c r="M63" s="26">
        <f>$I$20*$M$20</f>
        <v>0</v>
      </c>
      <c r="N63" s="26">
        <f>$I$20*$N$20</f>
        <v>0</v>
      </c>
      <c r="O63" s="26">
        <f>$I$20*$O$20</f>
        <v>0</v>
      </c>
      <c r="P63" s="26">
        <f>$I$20*$P$20</f>
        <v>0</v>
      </c>
      <c r="Q63" s="26">
        <f>$I$20*$Q$20</f>
        <v>0</v>
      </c>
      <c r="R63" s="26">
        <f>$I$20*$R$20</f>
        <v>0</v>
      </c>
      <c r="S63" s="26">
        <f>$I$20*$S$20</f>
        <v>0</v>
      </c>
      <c r="T63" s="26">
        <f>$I$20*$T$20</f>
        <v>0</v>
      </c>
      <c r="U63" s="26">
        <f>$I$20*$U$20</f>
        <v>0</v>
      </c>
      <c r="V63" s="26">
        <f>$I$20*$V$20</f>
        <v>0</v>
      </c>
      <c r="X63" s="26">
        <f>$I$20*$X$20</f>
        <v>0</v>
      </c>
      <c r="Y63" s="26">
        <f>$I$20*$Y$20</f>
        <v>0</v>
      </c>
      <c r="Z63" s="26">
        <f>$I$20*$Z$20</f>
        <v>0</v>
      </c>
      <c r="AA63" s="26">
        <f>$I$20*$AA$20</f>
        <v>0</v>
      </c>
      <c r="AB63" s="26">
        <f>$I$20*$AB$20</f>
        <v>0</v>
      </c>
      <c r="AC63" s="26">
        <f>$I$20*$AC$20</f>
        <v>0</v>
      </c>
      <c r="AD63" s="26">
        <f>$I$20*$AD$20</f>
        <v>0</v>
      </c>
      <c r="AE63" s="26">
        <f>$I$20*$AE$20</f>
        <v>0</v>
      </c>
      <c r="AF63" s="26">
        <f>$I$20*$AF$20</f>
        <v>0</v>
      </c>
      <c r="AG63" s="26">
        <f>$I$20*$AG$20</f>
        <v>0</v>
      </c>
      <c r="AH63" s="26">
        <f>$I$20*$AH$20</f>
        <v>0</v>
      </c>
    </row>
    <row r="64" spans="1:34" ht="11.25" customHeight="1" x14ac:dyDescent="0.25">
      <c r="A64" s="9" t="s">
        <v>41</v>
      </c>
      <c r="B64" s="9" t="s">
        <v>930</v>
      </c>
      <c r="C64" s="9" t="s">
        <v>931</v>
      </c>
      <c r="D64" s="9" t="s">
        <v>932</v>
      </c>
      <c r="E64" s="9" t="s">
        <v>933</v>
      </c>
      <c r="F64" s="9" t="s">
        <v>934</v>
      </c>
      <c r="G64" s="9" t="s">
        <v>935</v>
      </c>
      <c r="L64" s="26">
        <f>$I$21*$L$21</f>
        <v>0</v>
      </c>
      <c r="M64" s="26">
        <f>$I$21*$M$21</f>
        <v>0</v>
      </c>
      <c r="N64" s="26">
        <f>$I$21*$N$21</f>
        <v>0</v>
      </c>
      <c r="O64" s="26">
        <f>$I$21*$O$21</f>
        <v>0</v>
      </c>
      <c r="P64" s="26">
        <f>$I$21*$P$21</f>
        <v>0</v>
      </c>
      <c r="Q64" s="26">
        <f>$I$21*$Q$21</f>
        <v>0</v>
      </c>
      <c r="R64" s="26">
        <f>$I$21*$R$21</f>
        <v>0</v>
      </c>
      <c r="S64" s="26">
        <f>$I$21*$S$21</f>
        <v>0</v>
      </c>
      <c r="T64" s="26">
        <f>$I$21*$T$21</f>
        <v>0</v>
      </c>
      <c r="U64" s="26">
        <f>$I$21*$U$21</f>
        <v>0</v>
      </c>
      <c r="V64" s="26">
        <f>$I$21*$V$21</f>
        <v>0</v>
      </c>
      <c r="X64" s="26">
        <f>$I$21*$X$21</f>
        <v>0</v>
      </c>
      <c r="Y64" s="26">
        <f>$I$21*$Y$21</f>
        <v>0</v>
      </c>
      <c r="Z64" s="26">
        <f>$I$21*$Z$21</f>
        <v>0</v>
      </c>
      <c r="AA64" s="26">
        <f>$I$21*$AA$21</f>
        <v>0</v>
      </c>
      <c r="AB64" s="26">
        <f>$I$21*$AB$21</f>
        <v>0</v>
      </c>
      <c r="AC64" s="26">
        <f>$I$21*$AC$21</f>
        <v>0</v>
      </c>
      <c r="AD64" s="26">
        <f>$I$21*$AD$21</f>
        <v>0</v>
      </c>
      <c r="AE64" s="26">
        <f>$I$21*$AE$21</f>
        <v>0</v>
      </c>
      <c r="AF64" s="26">
        <f>$I$21*$AF$21</f>
        <v>0</v>
      </c>
      <c r="AG64" s="26">
        <f>$I$21*$AG$21</f>
        <v>0</v>
      </c>
      <c r="AH64" s="26">
        <f>$I$21*$AH$21</f>
        <v>0</v>
      </c>
    </row>
    <row r="65" spans="1:34" ht="11.25" customHeight="1" x14ac:dyDescent="0.25">
      <c r="A65" s="9" t="s">
        <v>41</v>
      </c>
      <c r="B65" s="9" t="s">
        <v>930</v>
      </c>
      <c r="C65" s="9" t="s">
        <v>931</v>
      </c>
      <c r="D65" s="9" t="s">
        <v>932</v>
      </c>
      <c r="E65" s="9" t="s">
        <v>933</v>
      </c>
      <c r="F65" s="9" t="s">
        <v>934</v>
      </c>
      <c r="G65" s="9" t="s">
        <v>936</v>
      </c>
      <c r="L65" s="26">
        <f>$I$22*$L$22</f>
        <v>0</v>
      </c>
      <c r="M65" s="26">
        <f>$I$22*$M$22</f>
        <v>0</v>
      </c>
      <c r="N65" s="26">
        <f>$I$22*$N$22</f>
        <v>0</v>
      </c>
      <c r="O65" s="26">
        <f>$I$22*$O$22</f>
        <v>0</v>
      </c>
      <c r="P65" s="26">
        <f>$I$22*$P$22</f>
        <v>0</v>
      </c>
      <c r="Q65" s="26">
        <f>$I$22*$Q$22</f>
        <v>0</v>
      </c>
      <c r="R65" s="26">
        <f>$I$22*$R$22</f>
        <v>0</v>
      </c>
      <c r="S65" s="26">
        <f>$I$22*$S$22</f>
        <v>0</v>
      </c>
      <c r="T65" s="26">
        <f>$I$22*$T$22</f>
        <v>0</v>
      </c>
      <c r="U65" s="26">
        <f>$I$22*$U$22</f>
        <v>0</v>
      </c>
      <c r="V65" s="26">
        <f>$I$22*$V$22</f>
        <v>0</v>
      </c>
      <c r="X65" s="26">
        <f>$I$22*$X$22</f>
        <v>0</v>
      </c>
      <c r="Y65" s="26">
        <f>$I$22*$Y$22</f>
        <v>0</v>
      </c>
      <c r="Z65" s="26">
        <f>$I$22*$Z$22</f>
        <v>0</v>
      </c>
      <c r="AA65" s="26">
        <f>$I$22*$AA$22</f>
        <v>0</v>
      </c>
      <c r="AB65" s="26">
        <f>$I$22*$AB$22</f>
        <v>0</v>
      </c>
      <c r="AC65" s="26">
        <f>$I$22*$AC$22</f>
        <v>0</v>
      </c>
      <c r="AD65" s="26">
        <f>$I$22*$AD$22</f>
        <v>0</v>
      </c>
      <c r="AE65" s="26">
        <f>$I$22*$AE$22</f>
        <v>0</v>
      </c>
      <c r="AF65" s="26">
        <f>$I$22*$AF$22</f>
        <v>0</v>
      </c>
      <c r="AG65" s="26">
        <f>$I$22*$AG$22</f>
        <v>0</v>
      </c>
      <c r="AH65" s="26">
        <f>$I$22*$AH$22</f>
        <v>0</v>
      </c>
    </row>
    <row r="66" spans="1:34" ht="11.25" customHeight="1" x14ac:dyDescent="0.25">
      <c r="A66" s="9" t="s">
        <v>41</v>
      </c>
      <c r="B66" s="9" t="s">
        <v>930</v>
      </c>
      <c r="C66" s="9" t="s">
        <v>931</v>
      </c>
      <c r="D66" s="9" t="s">
        <v>932</v>
      </c>
      <c r="E66" s="9" t="s">
        <v>933</v>
      </c>
      <c r="F66" s="9" t="s">
        <v>934</v>
      </c>
      <c r="G66" s="9" t="s">
        <v>937</v>
      </c>
      <c r="L66" s="26">
        <f>$I$23*$L$23</f>
        <v>0</v>
      </c>
      <c r="M66" s="26">
        <f>$I$23*$M$23</f>
        <v>0</v>
      </c>
      <c r="N66" s="26">
        <f>$I$23*$N$23</f>
        <v>0</v>
      </c>
      <c r="O66" s="26">
        <f>$I$23*$O$23</f>
        <v>0</v>
      </c>
      <c r="P66" s="26">
        <f>$I$23*$P$23</f>
        <v>0</v>
      </c>
      <c r="Q66" s="26">
        <f>$I$23*$Q$23</f>
        <v>0</v>
      </c>
      <c r="R66" s="26">
        <f>$I$23*$R$23</f>
        <v>0</v>
      </c>
      <c r="S66" s="26">
        <f>$I$23*$S$23</f>
        <v>0</v>
      </c>
      <c r="T66" s="26">
        <f>$I$23*$T$23</f>
        <v>0</v>
      </c>
      <c r="U66" s="26">
        <f>$I$23*$U$23</f>
        <v>0</v>
      </c>
      <c r="V66" s="26">
        <f>$I$23*$V$23</f>
        <v>0</v>
      </c>
      <c r="X66" s="26">
        <f>$I$23*$X$23</f>
        <v>0</v>
      </c>
      <c r="Y66" s="26">
        <f>$I$23*$Y$23</f>
        <v>0</v>
      </c>
      <c r="Z66" s="26">
        <f>$I$23*$Z$23</f>
        <v>0</v>
      </c>
      <c r="AA66" s="26">
        <f>$I$23*$AA$23</f>
        <v>0</v>
      </c>
      <c r="AB66" s="26">
        <f>$I$23*$AB$23</f>
        <v>0</v>
      </c>
      <c r="AC66" s="26">
        <f>$I$23*$AC$23</f>
        <v>0</v>
      </c>
      <c r="AD66" s="26">
        <f>$I$23*$AD$23</f>
        <v>0</v>
      </c>
      <c r="AE66" s="26">
        <f>$I$23*$AE$23</f>
        <v>0</v>
      </c>
      <c r="AF66" s="26">
        <f>$I$23*$AF$23</f>
        <v>0</v>
      </c>
      <c r="AG66" s="26">
        <f>$I$23*$AG$23</f>
        <v>0</v>
      </c>
      <c r="AH66" s="26">
        <f>$I$23*$AH$23</f>
        <v>0</v>
      </c>
    </row>
    <row r="67" spans="1:34" ht="11.25" customHeight="1" x14ac:dyDescent="0.25">
      <c r="A67" s="9" t="s">
        <v>41</v>
      </c>
      <c r="B67" s="9" t="s">
        <v>938</v>
      </c>
      <c r="C67" s="9" t="s">
        <v>939</v>
      </c>
      <c r="D67" s="9" t="s">
        <v>940</v>
      </c>
      <c r="E67" s="9" t="s">
        <v>941</v>
      </c>
      <c r="F67" s="9" t="s">
        <v>942</v>
      </c>
      <c r="G67" s="9" t="s">
        <v>943</v>
      </c>
      <c r="L67" s="26">
        <f>$I$24*$L$24</f>
        <v>0</v>
      </c>
      <c r="M67" s="26">
        <f>$I$24*$M$24</f>
        <v>0</v>
      </c>
      <c r="N67" s="26">
        <f>$I$24*$N$24</f>
        <v>0</v>
      </c>
      <c r="O67" s="26">
        <f>$I$24*$O$24</f>
        <v>0</v>
      </c>
      <c r="P67" s="26">
        <f>$I$24*$P$24</f>
        <v>0</v>
      </c>
      <c r="Q67" s="26">
        <f>$I$24*$Q$24</f>
        <v>74920.48558697589</v>
      </c>
      <c r="R67" s="26">
        <f>$I$24*$R$24</f>
        <v>0</v>
      </c>
      <c r="S67" s="26">
        <f>$I$24*$S$24</f>
        <v>0</v>
      </c>
      <c r="T67" s="26">
        <f>$I$24*$T$24</f>
        <v>0</v>
      </c>
      <c r="U67" s="26">
        <f>$I$24*$U$24</f>
        <v>-1076.8227594434868</v>
      </c>
      <c r="V67" s="26">
        <f>$I$24*$V$24</f>
        <v>0</v>
      </c>
      <c r="X67" s="26">
        <f>$I$24*$X$24</f>
        <v>0</v>
      </c>
      <c r="Y67" s="26">
        <f>$I$24*$Y$24</f>
        <v>0</v>
      </c>
      <c r="Z67" s="26">
        <f>$I$24*$Z$24</f>
        <v>0</v>
      </c>
      <c r="AA67" s="26">
        <f>$I$24*$AA$24</f>
        <v>0</v>
      </c>
      <c r="AB67" s="26">
        <f>$I$24*$AB$24</f>
        <v>0</v>
      </c>
      <c r="AC67" s="26">
        <f>$I$24*$AC$24</f>
        <v>78298.911424642647</v>
      </c>
      <c r="AD67" s="26">
        <f>$I$24*$AD$24</f>
        <v>0</v>
      </c>
      <c r="AE67" s="26">
        <f>$I$24*$AE$24</f>
        <v>0</v>
      </c>
      <c r="AF67" s="26">
        <f>$I$24*$AF$24</f>
        <v>0</v>
      </c>
      <c r="AG67" s="26">
        <f>$I$24*$AG$24</f>
        <v>0</v>
      </c>
      <c r="AH67" s="26">
        <f>$I$24*$AH$24</f>
        <v>0</v>
      </c>
    </row>
    <row r="68" spans="1:34" ht="11.25" customHeight="1" x14ac:dyDescent="0.25">
      <c r="A68" s="9" t="s">
        <v>41</v>
      </c>
      <c r="B68" s="9" t="s">
        <v>930</v>
      </c>
      <c r="C68" s="9" t="s">
        <v>931</v>
      </c>
      <c r="D68" s="9" t="s">
        <v>944</v>
      </c>
      <c r="E68" s="9" t="s">
        <v>945</v>
      </c>
      <c r="F68" s="9" t="s">
        <v>946</v>
      </c>
      <c r="G68" s="9" t="s">
        <v>947</v>
      </c>
      <c r="L68" s="26">
        <f>$I$25*$L$25</f>
        <v>0</v>
      </c>
      <c r="M68" s="26">
        <f>$I$25*$M$25</f>
        <v>0</v>
      </c>
      <c r="N68" s="26">
        <f>$I$25*$N$25</f>
        <v>0</v>
      </c>
      <c r="O68" s="26">
        <f>$I$25*$O$25</f>
        <v>0</v>
      </c>
      <c r="P68" s="26">
        <f>$I$25*$P$25</f>
        <v>0</v>
      </c>
      <c r="Q68" s="26">
        <f>$I$25*$Q$25</f>
        <v>0</v>
      </c>
      <c r="R68" s="26">
        <f>$I$25*$R$25</f>
        <v>0</v>
      </c>
      <c r="S68" s="26">
        <f>$I$25*$S$25</f>
        <v>0</v>
      </c>
      <c r="T68" s="26">
        <f>$I$25*$T$25</f>
        <v>0</v>
      </c>
      <c r="U68" s="26">
        <f>$I$25*$U$25</f>
        <v>0</v>
      </c>
      <c r="V68" s="26">
        <f>$I$25*$V$25</f>
        <v>0</v>
      </c>
      <c r="X68" s="26">
        <f>$I$25*$X$25</f>
        <v>0</v>
      </c>
      <c r="Y68" s="26">
        <f>$I$25*$Y$25</f>
        <v>0</v>
      </c>
      <c r="Z68" s="26">
        <f>$I$25*$Z$25</f>
        <v>0</v>
      </c>
      <c r="AA68" s="26">
        <f>$I$25*$AA$25</f>
        <v>0</v>
      </c>
      <c r="AB68" s="26">
        <f>$I$25*$AB$25</f>
        <v>0</v>
      </c>
      <c r="AC68" s="26">
        <f>$I$25*$AC$25</f>
        <v>0</v>
      </c>
      <c r="AD68" s="26">
        <f>$I$25*$AD$25</f>
        <v>0</v>
      </c>
      <c r="AE68" s="26">
        <f>$I$25*$AE$25</f>
        <v>0</v>
      </c>
      <c r="AF68" s="26">
        <f>$I$25*$AF$25</f>
        <v>0</v>
      </c>
      <c r="AG68" s="26">
        <f>$I$25*$AG$25</f>
        <v>0</v>
      </c>
      <c r="AH68" s="26">
        <f>$I$25*$AH$25</f>
        <v>0</v>
      </c>
    </row>
    <row r="69" spans="1:34" ht="11.25" customHeight="1" x14ac:dyDescent="0.25">
      <c r="A69" s="9" t="s">
        <v>41</v>
      </c>
      <c r="B69" s="9" t="s">
        <v>930</v>
      </c>
      <c r="C69" s="9" t="s">
        <v>931</v>
      </c>
      <c r="D69" s="9" t="s">
        <v>944</v>
      </c>
      <c r="E69" s="9" t="s">
        <v>945</v>
      </c>
      <c r="F69" s="9" t="s">
        <v>946</v>
      </c>
      <c r="G69" s="9" t="s">
        <v>948</v>
      </c>
      <c r="L69" s="26">
        <f>$I$26*$L$26</f>
        <v>0</v>
      </c>
      <c r="M69" s="26">
        <f>$I$26*$M$26</f>
        <v>0</v>
      </c>
      <c r="N69" s="26">
        <f>$I$26*$N$26</f>
        <v>0</v>
      </c>
      <c r="O69" s="26">
        <f>$I$26*$O$26</f>
        <v>0</v>
      </c>
      <c r="P69" s="26">
        <f>$I$26*$P$26</f>
        <v>0</v>
      </c>
      <c r="Q69" s="26">
        <f>$I$26*$Q$26</f>
        <v>0</v>
      </c>
      <c r="R69" s="26">
        <f>$I$26*$R$26</f>
        <v>0</v>
      </c>
      <c r="S69" s="26">
        <f>$I$26*$S$26</f>
        <v>0</v>
      </c>
      <c r="T69" s="26">
        <f>$I$26*$T$26</f>
        <v>0</v>
      </c>
      <c r="U69" s="26">
        <f>$I$26*$U$26</f>
        <v>0</v>
      </c>
      <c r="V69" s="26">
        <f>$I$26*$V$26</f>
        <v>0</v>
      </c>
      <c r="X69" s="26">
        <f>$I$26*$X$26</f>
        <v>0</v>
      </c>
      <c r="Y69" s="26">
        <f>$I$26*$Y$26</f>
        <v>0</v>
      </c>
      <c r="Z69" s="26">
        <f>$I$26*$Z$26</f>
        <v>0</v>
      </c>
      <c r="AA69" s="26">
        <f>$I$26*$AA$26</f>
        <v>0</v>
      </c>
      <c r="AB69" s="26">
        <f>$I$26*$AB$26</f>
        <v>0</v>
      </c>
      <c r="AC69" s="26">
        <f>$I$26*$AC$26</f>
        <v>0</v>
      </c>
      <c r="AD69" s="26">
        <f>$I$26*$AD$26</f>
        <v>0</v>
      </c>
      <c r="AE69" s="26">
        <f>$I$26*$AE$26</f>
        <v>0</v>
      </c>
      <c r="AF69" s="26">
        <f>$I$26*$AF$26</f>
        <v>0</v>
      </c>
      <c r="AG69" s="26">
        <f>$I$26*$AG$26</f>
        <v>0</v>
      </c>
      <c r="AH69" s="26">
        <f>$I$26*$AH$26</f>
        <v>0</v>
      </c>
    </row>
    <row r="70" spans="1:34" ht="11.25" customHeight="1" x14ac:dyDescent="0.25">
      <c r="A70" s="9" t="s">
        <v>41</v>
      </c>
      <c r="B70" s="9" t="s">
        <v>930</v>
      </c>
      <c r="C70" s="9" t="s">
        <v>931</v>
      </c>
      <c r="D70" s="9" t="s">
        <v>944</v>
      </c>
      <c r="E70" s="9" t="s">
        <v>945</v>
      </c>
      <c r="F70" s="9" t="s">
        <v>946</v>
      </c>
      <c r="G70" s="9" t="s">
        <v>949</v>
      </c>
      <c r="L70" s="26">
        <f>$I$27*$L$27</f>
        <v>0</v>
      </c>
      <c r="M70" s="26">
        <f>$I$27*$M$27</f>
        <v>0</v>
      </c>
      <c r="N70" s="26">
        <f>$I$27*$N$27</f>
        <v>0</v>
      </c>
      <c r="O70" s="26">
        <f>$I$27*$O$27</f>
        <v>0</v>
      </c>
      <c r="P70" s="26">
        <f>$I$27*$P$27</f>
        <v>0</v>
      </c>
      <c r="Q70" s="26">
        <f>$I$27*$Q$27</f>
        <v>0</v>
      </c>
      <c r="R70" s="26">
        <f>$I$27*$R$27</f>
        <v>0</v>
      </c>
      <c r="S70" s="26">
        <f>$I$27*$S$27</f>
        <v>0</v>
      </c>
      <c r="T70" s="26">
        <f>$I$27*$T$27</f>
        <v>0</v>
      </c>
      <c r="U70" s="26">
        <f>$I$27*$U$27</f>
        <v>0</v>
      </c>
      <c r="V70" s="26">
        <f>$I$27*$V$27</f>
        <v>0</v>
      </c>
      <c r="X70" s="26">
        <f>$I$27*$X$27</f>
        <v>0</v>
      </c>
      <c r="Y70" s="26">
        <f>$I$27*$Y$27</f>
        <v>0</v>
      </c>
      <c r="Z70" s="26">
        <f>$I$27*$Z$27</f>
        <v>0</v>
      </c>
      <c r="AA70" s="26">
        <f>$I$27*$AA$27</f>
        <v>0</v>
      </c>
      <c r="AB70" s="26">
        <f>$I$27*$AB$27</f>
        <v>0</v>
      </c>
      <c r="AC70" s="26">
        <f>$I$27*$AC$27</f>
        <v>0</v>
      </c>
      <c r="AD70" s="26">
        <f>$I$27*$AD$27</f>
        <v>0</v>
      </c>
      <c r="AE70" s="26">
        <f>$I$27*$AE$27</f>
        <v>0</v>
      </c>
      <c r="AF70" s="26">
        <f>$I$27*$AF$27</f>
        <v>0</v>
      </c>
      <c r="AG70" s="26">
        <f>$I$27*$AG$27</f>
        <v>0</v>
      </c>
      <c r="AH70" s="26">
        <f>$I$27*$AH$27</f>
        <v>0</v>
      </c>
    </row>
    <row r="71" spans="1:34" ht="11.25" customHeight="1" x14ac:dyDescent="0.25">
      <c r="A71" s="9" t="s">
        <v>41</v>
      </c>
      <c r="B71" s="9" t="s">
        <v>938</v>
      </c>
      <c r="C71" s="9" t="s">
        <v>939</v>
      </c>
      <c r="D71" s="9" t="s">
        <v>950</v>
      </c>
      <c r="E71" s="9" t="s">
        <v>951</v>
      </c>
      <c r="F71" s="9" t="s">
        <v>952</v>
      </c>
      <c r="G71" s="9" t="s">
        <v>953</v>
      </c>
      <c r="L71" s="26">
        <f>$I$28*$L$28</f>
        <v>0</v>
      </c>
      <c r="M71" s="26">
        <f>$I$28*$M$28</f>
        <v>0</v>
      </c>
      <c r="N71" s="26">
        <f>$I$28*$N$28</f>
        <v>0</v>
      </c>
      <c r="O71" s="26">
        <f>$I$28*$O$28</f>
        <v>0</v>
      </c>
      <c r="P71" s="26">
        <f>$I$28*$P$28</f>
        <v>0</v>
      </c>
      <c r="Q71" s="26">
        <f>$I$28*$Q$28</f>
        <v>0</v>
      </c>
      <c r="R71" s="26">
        <f>$I$28*$R$28</f>
        <v>0</v>
      </c>
      <c r="S71" s="26">
        <f>$I$28*$S$28</f>
        <v>0</v>
      </c>
      <c r="T71" s="26">
        <f>$I$28*$T$28</f>
        <v>0</v>
      </c>
      <c r="U71" s="26">
        <f>$I$28*$U$28</f>
        <v>0</v>
      </c>
      <c r="V71" s="26">
        <f>$I$28*$V$28</f>
        <v>0</v>
      </c>
      <c r="X71" s="26">
        <f>$I$28*$X$28</f>
        <v>0</v>
      </c>
      <c r="Y71" s="26">
        <f>$I$28*$Y$28</f>
        <v>0</v>
      </c>
      <c r="Z71" s="26">
        <f>$I$28*$Z$28</f>
        <v>0</v>
      </c>
      <c r="AA71" s="26">
        <f>$I$28*$AA$28</f>
        <v>0</v>
      </c>
      <c r="AB71" s="26">
        <f>$I$28*$AB$28</f>
        <v>0</v>
      </c>
      <c r="AC71" s="26">
        <f>$I$28*$AC$28</f>
        <v>0</v>
      </c>
      <c r="AD71" s="26">
        <f>$I$28*$AD$28</f>
        <v>0</v>
      </c>
      <c r="AE71" s="26">
        <f>$I$28*$AE$28</f>
        <v>0</v>
      </c>
      <c r="AF71" s="26">
        <f>$I$28*$AF$28</f>
        <v>0</v>
      </c>
      <c r="AG71" s="26">
        <f>$I$28*$AG$28</f>
        <v>0</v>
      </c>
      <c r="AH71" s="26">
        <f>$I$28*$AH$28</f>
        <v>0</v>
      </c>
    </row>
    <row r="72" spans="1:34" ht="11.25" customHeight="1" x14ac:dyDescent="0.25">
      <c r="A72" s="9" t="s">
        <v>41</v>
      </c>
      <c r="B72" s="9" t="s">
        <v>930</v>
      </c>
      <c r="C72" s="9" t="s">
        <v>931</v>
      </c>
      <c r="D72" s="9" t="s">
        <v>954</v>
      </c>
      <c r="E72" s="9" t="s">
        <v>955</v>
      </c>
      <c r="F72" s="9" t="s">
        <v>956</v>
      </c>
      <c r="G72" s="9" t="s">
        <v>957</v>
      </c>
      <c r="L72" s="26">
        <f>$I$29*$L$29</f>
        <v>0</v>
      </c>
      <c r="M72" s="26">
        <f>$I$29*$M$29</f>
        <v>0</v>
      </c>
      <c r="N72" s="26">
        <f>$I$29*$N$29</f>
        <v>0</v>
      </c>
      <c r="O72" s="26">
        <f>$I$29*$O$29</f>
        <v>0</v>
      </c>
      <c r="P72" s="26">
        <f>$I$29*$P$29</f>
        <v>0</v>
      </c>
      <c r="Q72" s="26">
        <f>$I$29*$Q$29</f>
        <v>0</v>
      </c>
      <c r="R72" s="26">
        <f>$I$29*$R$29</f>
        <v>0</v>
      </c>
      <c r="S72" s="26">
        <f>$I$29*$S$29</f>
        <v>0</v>
      </c>
      <c r="T72" s="26">
        <f>$I$29*$T$29</f>
        <v>0</v>
      </c>
      <c r="U72" s="26">
        <f>$I$29*$U$29</f>
        <v>0</v>
      </c>
      <c r="V72" s="26">
        <f>$I$29*$V$29</f>
        <v>0</v>
      </c>
      <c r="X72" s="26">
        <f>$I$29*$X$29</f>
        <v>0</v>
      </c>
      <c r="Y72" s="26">
        <f>$I$29*$Y$29</f>
        <v>0</v>
      </c>
      <c r="Z72" s="26">
        <f>$I$29*$Z$29</f>
        <v>0</v>
      </c>
      <c r="AA72" s="26">
        <f>$I$29*$AA$29</f>
        <v>0</v>
      </c>
      <c r="AB72" s="26">
        <f>$I$29*$AB$29</f>
        <v>0</v>
      </c>
      <c r="AC72" s="26">
        <f>$I$29*$AC$29</f>
        <v>0</v>
      </c>
      <c r="AD72" s="26">
        <f>$I$29*$AD$29</f>
        <v>0</v>
      </c>
      <c r="AE72" s="26">
        <f>$I$29*$AE$29</f>
        <v>0</v>
      </c>
      <c r="AF72" s="26">
        <f>$I$29*$AF$29</f>
        <v>0</v>
      </c>
      <c r="AG72" s="26">
        <f>$I$29*$AG$29</f>
        <v>0</v>
      </c>
      <c r="AH72" s="26">
        <f>$I$29*$AH$29</f>
        <v>0</v>
      </c>
    </row>
    <row r="73" spans="1:34" ht="11.25" customHeight="1" x14ac:dyDescent="0.25">
      <c r="A73" s="9" t="s">
        <v>41</v>
      </c>
      <c r="B73" s="9" t="s">
        <v>930</v>
      </c>
      <c r="C73" s="9" t="s">
        <v>931</v>
      </c>
      <c r="D73" s="9" t="s">
        <v>954</v>
      </c>
      <c r="E73" s="9" t="s">
        <v>955</v>
      </c>
      <c r="F73" s="9" t="s">
        <v>956</v>
      </c>
      <c r="G73" s="9" t="s">
        <v>958</v>
      </c>
      <c r="L73" s="26">
        <f>$I$30*$L$30</f>
        <v>0</v>
      </c>
      <c r="M73" s="26">
        <f>$I$30*$M$30</f>
        <v>0</v>
      </c>
      <c r="N73" s="26">
        <f>$I$30*$N$30</f>
        <v>0</v>
      </c>
      <c r="O73" s="26">
        <f>$I$30*$O$30</f>
        <v>0</v>
      </c>
      <c r="P73" s="26">
        <f>$I$30*$P$30</f>
        <v>0</v>
      </c>
      <c r="Q73" s="26">
        <f>$I$30*$Q$30</f>
        <v>0</v>
      </c>
      <c r="R73" s="26">
        <f>$I$30*$R$30</f>
        <v>0</v>
      </c>
      <c r="S73" s="26">
        <f>$I$30*$S$30</f>
        <v>0</v>
      </c>
      <c r="T73" s="26">
        <f>$I$30*$T$30</f>
        <v>0</v>
      </c>
      <c r="U73" s="26">
        <f>$I$30*$U$30</f>
        <v>0</v>
      </c>
      <c r="V73" s="26">
        <f>$I$30*$V$30</f>
        <v>0</v>
      </c>
      <c r="X73" s="26">
        <f>$I$30*$X$30</f>
        <v>0</v>
      </c>
      <c r="Y73" s="26">
        <f>$I$30*$Y$30</f>
        <v>0</v>
      </c>
      <c r="Z73" s="26">
        <f>$I$30*$Z$30</f>
        <v>0</v>
      </c>
      <c r="AA73" s="26">
        <f>$I$30*$AA$30</f>
        <v>0</v>
      </c>
      <c r="AB73" s="26">
        <f>$I$30*$AB$30</f>
        <v>0</v>
      </c>
      <c r="AC73" s="26">
        <f>$I$30*$AC$30</f>
        <v>0</v>
      </c>
      <c r="AD73" s="26">
        <f>$I$30*$AD$30</f>
        <v>0</v>
      </c>
      <c r="AE73" s="26">
        <f>$I$30*$AE$30</f>
        <v>0</v>
      </c>
      <c r="AF73" s="26">
        <f>$I$30*$AF$30</f>
        <v>0</v>
      </c>
      <c r="AG73" s="26">
        <f>$I$30*$AG$30</f>
        <v>0</v>
      </c>
      <c r="AH73" s="26">
        <f>$I$30*$AH$30</f>
        <v>0</v>
      </c>
    </row>
    <row r="74" spans="1:34" ht="11.25" customHeight="1" x14ac:dyDescent="0.25">
      <c r="A74" s="9" t="s">
        <v>41</v>
      </c>
      <c r="B74" s="9" t="s">
        <v>930</v>
      </c>
      <c r="C74" s="9" t="s">
        <v>931</v>
      </c>
      <c r="D74" s="9" t="s">
        <v>954</v>
      </c>
      <c r="E74" s="9" t="s">
        <v>955</v>
      </c>
      <c r="F74" s="9" t="s">
        <v>956</v>
      </c>
      <c r="G74" s="9" t="s">
        <v>959</v>
      </c>
      <c r="L74" s="26">
        <f>$I$31*$L$31</f>
        <v>0</v>
      </c>
      <c r="M74" s="26">
        <f>$I$31*$M$31</f>
        <v>0</v>
      </c>
      <c r="N74" s="26">
        <f>$I$31*$N$31</f>
        <v>0</v>
      </c>
      <c r="O74" s="26">
        <f>$I$31*$O$31</f>
        <v>0</v>
      </c>
      <c r="P74" s="26">
        <f>$I$31*$P$31</f>
        <v>0</v>
      </c>
      <c r="Q74" s="26">
        <f>$I$31*$Q$31</f>
        <v>0</v>
      </c>
      <c r="R74" s="26">
        <f>$I$31*$R$31</f>
        <v>0</v>
      </c>
      <c r="S74" s="26">
        <f>$I$31*$S$31</f>
        <v>0</v>
      </c>
      <c r="T74" s="26">
        <f>$I$31*$T$31</f>
        <v>0</v>
      </c>
      <c r="U74" s="26">
        <f>$I$31*$U$31</f>
        <v>0</v>
      </c>
      <c r="V74" s="26">
        <f>$I$31*$V$31</f>
        <v>0</v>
      </c>
      <c r="X74" s="26">
        <f>$I$31*$X$31</f>
        <v>0</v>
      </c>
      <c r="Y74" s="26">
        <f>$I$31*$Y$31</f>
        <v>0</v>
      </c>
      <c r="Z74" s="26">
        <f>$I$31*$Z$31</f>
        <v>0</v>
      </c>
      <c r="AA74" s="26">
        <f>$I$31*$AA$31</f>
        <v>0</v>
      </c>
      <c r="AB74" s="26">
        <f>$I$31*$AB$31</f>
        <v>0</v>
      </c>
      <c r="AC74" s="26">
        <f>$I$31*$AC$31</f>
        <v>0</v>
      </c>
      <c r="AD74" s="26">
        <f>$I$31*$AD$31</f>
        <v>0</v>
      </c>
      <c r="AE74" s="26">
        <f>$I$31*$AE$31</f>
        <v>0</v>
      </c>
      <c r="AF74" s="26">
        <f>$I$31*$AF$31</f>
        <v>0</v>
      </c>
      <c r="AG74" s="26">
        <f>$I$31*$AG$31</f>
        <v>0</v>
      </c>
      <c r="AH74" s="26">
        <f>$I$31*$AH$31</f>
        <v>0</v>
      </c>
    </row>
    <row r="75" spans="1:34" ht="11.25" customHeight="1" x14ac:dyDescent="0.25">
      <c r="A75" s="9" t="s">
        <v>41</v>
      </c>
      <c r="B75" s="9" t="s">
        <v>938</v>
      </c>
      <c r="C75" s="9" t="s">
        <v>939</v>
      </c>
      <c r="D75" s="9" t="s">
        <v>960</v>
      </c>
      <c r="E75" s="9" t="s">
        <v>961</v>
      </c>
      <c r="F75" s="9" t="s">
        <v>962</v>
      </c>
      <c r="G75" s="9" t="s">
        <v>963</v>
      </c>
      <c r="L75" s="26">
        <f>$I$32*$L$32</f>
        <v>0</v>
      </c>
      <c r="M75" s="26">
        <f>$I$32*$M$32</f>
        <v>0</v>
      </c>
      <c r="N75" s="26">
        <f>$I$32*$N$32</f>
        <v>0</v>
      </c>
      <c r="O75" s="26">
        <f>$I$32*$O$32</f>
        <v>0</v>
      </c>
      <c r="P75" s="26">
        <f>$I$32*$P$32</f>
        <v>0</v>
      </c>
      <c r="Q75" s="26">
        <f>$I$32*$Q$32</f>
        <v>0</v>
      </c>
      <c r="R75" s="26">
        <f>$I$32*$R$32</f>
        <v>0</v>
      </c>
      <c r="S75" s="26">
        <f>$I$32*$S$32</f>
        <v>0</v>
      </c>
      <c r="T75" s="26">
        <f>$I$32*$T$32</f>
        <v>0</v>
      </c>
      <c r="U75" s="26">
        <f>$I$32*$U$32</f>
        <v>0</v>
      </c>
      <c r="V75" s="26">
        <f>$I$32*$V$32</f>
        <v>0</v>
      </c>
      <c r="X75" s="26">
        <f>$I$32*$X$32</f>
        <v>0</v>
      </c>
      <c r="Y75" s="26">
        <f>$I$32*$Y$32</f>
        <v>0</v>
      </c>
      <c r="Z75" s="26">
        <f>$I$32*$Z$32</f>
        <v>0</v>
      </c>
      <c r="AA75" s="26">
        <f>$I$32*$AA$32</f>
        <v>0</v>
      </c>
      <c r="AB75" s="26">
        <f>$I$32*$AB$32</f>
        <v>0</v>
      </c>
      <c r="AC75" s="26">
        <f>$I$32*$AC$32</f>
        <v>0</v>
      </c>
      <c r="AD75" s="26">
        <f>$I$32*$AD$32</f>
        <v>0</v>
      </c>
      <c r="AE75" s="26">
        <f>$I$32*$AE$32</f>
        <v>0</v>
      </c>
      <c r="AF75" s="26">
        <f>$I$32*$AF$32</f>
        <v>0</v>
      </c>
      <c r="AG75" s="26">
        <f>$I$32*$AG$32</f>
        <v>0</v>
      </c>
      <c r="AH75" s="26">
        <f>$I$32*$AH$32</f>
        <v>0</v>
      </c>
    </row>
    <row r="76" spans="1:34" ht="11.25" customHeight="1" x14ac:dyDescent="0.25">
      <c r="A76" s="9" t="s">
        <v>41</v>
      </c>
      <c r="B76" s="9" t="s">
        <v>964</v>
      </c>
      <c r="C76" s="9" t="s">
        <v>965</v>
      </c>
      <c r="D76" s="9" t="s">
        <v>966</v>
      </c>
      <c r="E76" s="9" t="s">
        <v>967</v>
      </c>
      <c r="F76" s="9" t="s">
        <v>968</v>
      </c>
      <c r="G76" s="9" t="s">
        <v>969</v>
      </c>
      <c r="L76" s="26">
        <f>$I$33*$L$33</f>
        <v>0</v>
      </c>
      <c r="M76" s="26">
        <f>$I$33*$M$33</f>
        <v>0</v>
      </c>
      <c r="N76" s="26">
        <f>$I$33*$N$33</f>
        <v>0</v>
      </c>
      <c r="O76" s="26">
        <f>$I$33*$O$33</f>
        <v>0</v>
      </c>
      <c r="P76" s="26">
        <f>$I$33*$P$33</f>
        <v>0</v>
      </c>
      <c r="Q76" s="26">
        <f>$I$33*$Q$33</f>
        <v>0</v>
      </c>
      <c r="R76" s="26">
        <f>$I$33*$R$33</f>
        <v>0</v>
      </c>
      <c r="S76" s="26">
        <f>$I$33*$S$33</f>
        <v>0</v>
      </c>
      <c r="T76" s="26">
        <f>$I$33*$T$33</f>
        <v>0</v>
      </c>
      <c r="U76" s="26">
        <f>$I$33*$U$33</f>
        <v>0</v>
      </c>
      <c r="V76" s="26">
        <f>$I$33*$V$33</f>
        <v>0</v>
      </c>
      <c r="X76" s="26">
        <f>$I$33*$X$33</f>
        <v>0</v>
      </c>
      <c r="Y76" s="26">
        <f>$I$33*$Y$33</f>
        <v>0</v>
      </c>
      <c r="Z76" s="26">
        <f>$I$33*$Z$33</f>
        <v>0</v>
      </c>
      <c r="AA76" s="26">
        <f>$I$33*$AA$33</f>
        <v>0</v>
      </c>
      <c r="AB76" s="26">
        <f>$I$33*$AB$33</f>
        <v>0</v>
      </c>
      <c r="AC76" s="26">
        <f>$I$33*$AC$33</f>
        <v>0</v>
      </c>
      <c r="AD76" s="26">
        <f>$I$33*$AD$33</f>
        <v>0</v>
      </c>
      <c r="AE76" s="26">
        <f>$I$33*$AE$33</f>
        <v>0</v>
      </c>
      <c r="AF76" s="26">
        <f>$I$33*$AF$33</f>
        <v>0</v>
      </c>
      <c r="AG76" s="26">
        <f>$I$33*$AG$33</f>
        <v>0</v>
      </c>
      <c r="AH76" s="26">
        <f>$I$33*$AH$33</f>
        <v>0</v>
      </c>
    </row>
    <row r="77" spans="1:34" ht="11.25" customHeight="1" x14ac:dyDescent="0.25">
      <c r="A77" s="9" t="s">
        <v>41</v>
      </c>
      <c r="B77" s="9" t="s">
        <v>964</v>
      </c>
      <c r="C77" s="9" t="s">
        <v>965</v>
      </c>
      <c r="D77" s="9" t="s">
        <v>970</v>
      </c>
      <c r="E77" s="9" t="s">
        <v>971</v>
      </c>
      <c r="F77" s="9" t="s">
        <v>972</v>
      </c>
      <c r="G77" s="9" t="s">
        <v>973</v>
      </c>
      <c r="L77" s="26">
        <f>$I$34*$L$34</f>
        <v>0</v>
      </c>
      <c r="M77" s="26">
        <f>$I$34*$M$34</f>
        <v>0</v>
      </c>
      <c r="N77" s="26">
        <f>$I$34*$N$34</f>
        <v>0</v>
      </c>
      <c r="O77" s="26">
        <f>$I$34*$O$34</f>
        <v>0</v>
      </c>
      <c r="P77" s="26">
        <f>$I$34*$P$34</f>
        <v>0</v>
      </c>
      <c r="Q77" s="26">
        <f>$I$34*$Q$34</f>
        <v>0</v>
      </c>
      <c r="R77" s="26">
        <f>$I$34*$R$34</f>
        <v>0</v>
      </c>
      <c r="S77" s="26">
        <f>$I$34*$S$34</f>
        <v>0</v>
      </c>
      <c r="T77" s="26">
        <f>$I$34*$T$34</f>
        <v>0</v>
      </c>
      <c r="U77" s="26">
        <f>$I$34*$U$34</f>
        <v>0</v>
      </c>
      <c r="V77" s="26">
        <f>$I$34*$V$34</f>
        <v>0</v>
      </c>
      <c r="X77" s="26">
        <f>$I$34*$X$34</f>
        <v>0</v>
      </c>
      <c r="Y77" s="26">
        <f>$I$34*$Y$34</f>
        <v>0</v>
      </c>
      <c r="Z77" s="26">
        <f>$I$34*$Z$34</f>
        <v>0</v>
      </c>
      <c r="AA77" s="26">
        <f>$I$34*$AA$34</f>
        <v>0</v>
      </c>
      <c r="AB77" s="26">
        <f>$I$34*$AB$34</f>
        <v>0</v>
      </c>
      <c r="AC77" s="26">
        <f>$I$34*$AC$34</f>
        <v>0</v>
      </c>
      <c r="AD77" s="26">
        <f>$I$34*$AD$34</f>
        <v>0</v>
      </c>
      <c r="AE77" s="26">
        <f>$I$34*$AE$34</f>
        <v>0</v>
      </c>
      <c r="AF77" s="26">
        <f>$I$34*$AF$34</f>
        <v>0</v>
      </c>
      <c r="AG77" s="26">
        <f>$I$34*$AG$34</f>
        <v>0</v>
      </c>
      <c r="AH77" s="26">
        <f>$I$34*$AH$34</f>
        <v>0</v>
      </c>
    </row>
    <row r="78" spans="1:34" ht="11.25" customHeight="1" x14ac:dyDescent="0.25">
      <c r="A78" s="9" t="s">
        <v>41</v>
      </c>
      <c r="B78" s="9" t="s">
        <v>964</v>
      </c>
      <c r="C78" s="9" t="s">
        <v>965</v>
      </c>
      <c r="D78" s="9" t="s">
        <v>974</v>
      </c>
      <c r="E78" s="9" t="s">
        <v>975</v>
      </c>
      <c r="F78" s="9" t="s">
        <v>976</v>
      </c>
      <c r="G78" s="9" t="s">
        <v>977</v>
      </c>
      <c r="L78" s="26">
        <f>$I$35*$L$35</f>
        <v>0</v>
      </c>
      <c r="M78" s="26">
        <f>$I$35*$M$35</f>
        <v>0</v>
      </c>
      <c r="N78" s="26">
        <f>$I$35*$N$35</f>
        <v>0</v>
      </c>
      <c r="O78" s="26">
        <f>$I$35*$O$35</f>
        <v>0</v>
      </c>
      <c r="P78" s="26">
        <f>$I$35*$P$35</f>
        <v>0</v>
      </c>
      <c r="Q78" s="26">
        <f>$I$35*$Q$35</f>
        <v>0</v>
      </c>
      <c r="R78" s="26">
        <f>$I$35*$R$35</f>
        <v>0</v>
      </c>
      <c r="S78" s="26">
        <f>$I$35*$S$35</f>
        <v>0</v>
      </c>
      <c r="T78" s="26">
        <f>$I$35*$T$35</f>
        <v>0</v>
      </c>
      <c r="U78" s="26">
        <f>$I$35*$U$35</f>
        <v>0</v>
      </c>
      <c r="V78" s="26">
        <f>$I$35*$V$35</f>
        <v>0</v>
      </c>
      <c r="X78" s="26">
        <f>$I$35*$X$35</f>
        <v>0</v>
      </c>
      <c r="Y78" s="26">
        <f>$I$35*$Y$35</f>
        <v>0</v>
      </c>
      <c r="Z78" s="26">
        <f>$I$35*$Z$35</f>
        <v>0</v>
      </c>
      <c r="AA78" s="26">
        <f>$I$35*$AA$35</f>
        <v>0</v>
      </c>
      <c r="AB78" s="26">
        <f>$I$35*$AB$35</f>
        <v>0</v>
      </c>
      <c r="AC78" s="26">
        <f>$I$35*$AC$35</f>
        <v>0</v>
      </c>
      <c r="AD78" s="26">
        <f>$I$35*$AD$35</f>
        <v>0</v>
      </c>
      <c r="AE78" s="26">
        <f>$I$35*$AE$35</f>
        <v>0</v>
      </c>
      <c r="AF78" s="26">
        <f>$I$35*$AF$35</f>
        <v>0</v>
      </c>
      <c r="AG78" s="26">
        <f>$I$35*$AG$35</f>
        <v>0</v>
      </c>
      <c r="AH78" s="26">
        <f>$I$35*$AH$35</f>
        <v>0</v>
      </c>
    </row>
    <row r="79" spans="1:34" ht="11.25" customHeight="1" x14ac:dyDescent="0.25">
      <c r="A79" s="9" t="s">
        <v>37</v>
      </c>
      <c r="B79" s="9" t="s">
        <v>978</v>
      </c>
      <c r="C79" s="9" t="s">
        <v>979</v>
      </c>
      <c r="D79" s="9" t="s">
        <v>980</v>
      </c>
      <c r="E79" s="9" t="s">
        <v>981</v>
      </c>
      <c r="F79" s="9" t="s">
        <v>982</v>
      </c>
      <c r="G79" s="9" t="s">
        <v>983</v>
      </c>
      <c r="L79" s="26">
        <f>$I$36*$L$36</f>
        <v>0</v>
      </c>
      <c r="M79" s="26">
        <f>$I$36*$M$36</f>
        <v>0</v>
      </c>
      <c r="N79" s="26">
        <f>$I$36*$N$36</f>
        <v>0</v>
      </c>
      <c r="O79" s="26">
        <f>$I$36*$O$36</f>
        <v>0</v>
      </c>
      <c r="P79" s="26">
        <f>$I$36*$P$36</f>
        <v>0</v>
      </c>
      <c r="Q79" s="26">
        <f>$I$36*$Q$36</f>
        <v>0</v>
      </c>
      <c r="R79" s="26">
        <f>$I$36*$R$36</f>
        <v>0</v>
      </c>
      <c r="S79" s="26">
        <f>$I$36*$S$36</f>
        <v>0</v>
      </c>
      <c r="T79" s="26">
        <f>$I$36*$T$36</f>
        <v>0</v>
      </c>
      <c r="U79" s="26">
        <f>$I$36*$U$36</f>
        <v>0</v>
      </c>
      <c r="V79" s="26">
        <f>$I$36*$V$36</f>
        <v>0</v>
      </c>
      <c r="X79" s="26">
        <f>$I$36*$X$36</f>
        <v>0</v>
      </c>
      <c r="Y79" s="26">
        <f>$I$36*$Y$36</f>
        <v>0</v>
      </c>
      <c r="Z79" s="26">
        <f>$I$36*$Z$36</f>
        <v>0</v>
      </c>
      <c r="AA79" s="26">
        <f>$I$36*$AA$36</f>
        <v>0</v>
      </c>
      <c r="AB79" s="26">
        <f>$I$36*$AB$36</f>
        <v>0</v>
      </c>
      <c r="AC79" s="26">
        <f>$I$36*$AC$36</f>
        <v>0</v>
      </c>
      <c r="AD79" s="26">
        <f>$I$36*$AD$36</f>
        <v>0</v>
      </c>
      <c r="AE79" s="26">
        <f>$I$36*$AE$36</f>
        <v>0</v>
      </c>
      <c r="AF79" s="26">
        <f>$I$36*$AF$36</f>
        <v>0</v>
      </c>
      <c r="AG79" s="26">
        <f>$I$36*$AG$36</f>
        <v>0</v>
      </c>
      <c r="AH79" s="26">
        <f>$I$36*$AH$36</f>
        <v>0</v>
      </c>
    </row>
    <row r="80" spans="1:34" ht="11.25" customHeight="1" x14ac:dyDescent="0.25">
      <c r="A80" s="9" t="s">
        <v>37</v>
      </c>
      <c r="B80" s="9" t="s">
        <v>978</v>
      </c>
      <c r="C80" s="9" t="s">
        <v>979</v>
      </c>
      <c r="D80" s="9" t="s">
        <v>980</v>
      </c>
      <c r="E80" s="9" t="s">
        <v>981</v>
      </c>
      <c r="F80" s="9" t="s">
        <v>982</v>
      </c>
      <c r="G80" s="9" t="s">
        <v>984</v>
      </c>
      <c r="L80" s="26">
        <f>$I$37*$L$37</f>
        <v>0</v>
      </c>
      <c r="M80" s="26">
        <f>$I$37*$M$37</f>
        <v>0</v>
      </c>
      <c r="N80" s="26">
        <f>$I$37*$N$37</f>
        <v>0</v>
      </c>
      <c r="O80" s="26">
        <f>$I$37*$O$37</f>
        <v>0</v>
      </c>
      <c r="P80" s="26">
        <f>$I$37*$P$37</f>
        <v>0</v>
      </c>
      <c r="Q80" s="26">
        <f>$I$37*$Q$37</f>
        <v>0</v>
      </c>
      <c r="R80" s="26">
        <f>$I$37*$R$37</f>
        <v>0</v>
      </c>
      <c r="S80" s="26">
        <f>$I$37*$S$37</f>
        <v>0</v>
      </c>
      <c r="T80" s="26">
        <f>$I$37*$T$37</f>
        <v>0</v>
      </c>
      <c r="U80" s="26">
        <f>$I$37*$U$37</f>
        <v>0</v>
      </c>
      <c r="V80" s="26">
        <f>$I$37*$V$37</f>
        <v>0</v>
      </c>
      <c r="X80" s="26">
        <f>$I$37*$X$37</f>
        <v>0</v>
      </c>
      <c r="Y80" s="26">
        <f>$I$37*$Y$37</f>
        <v>0</v>
      </c>
      <c r="Z80" s="26">
        <f>$I$37*$Z$37</f>
        <v>0</v>
      </c>
      <c r="AA80" s="26">
        <f>$I$37*$AA$37</f>
        <v>0</v>
      </c>
      <c r="AB80" s="26">
        <f>$I$37*$AB$37</f>
        <v>0</v>
      </c>
      <c r="AC80" s="26">
        <f>$I$37*$AC$37</f>
        <v>0</v>
      </c>
      <c r="AD80" s="26">
        <f>$I$37*$AD$37</f>
        <v>0</v>
      </c>
      <c r="AE80" s="26">
        <f>$I$37*$AE$37</f>
        <v>0</v>
      </c>
      <c r="AF80" s="26">
        <f>$I$37*$AF$37</f>
        <v>0</v>
      </c>
      <c r="AG80" s="26">
        <f>$I$37*$AG$37</f>
        <v>0</v>
      </c>
      <c r="AH80" s="26">
        <f>$I$37*$AH$37</f>
        <v>0</v>
      </c>
    </row>
    <row r="81" spans="1:34" ht="11.25" customHeight="1" x14ac:dyDescent="0.25">
      <c r="A81" s="9" t="s">
        <v>37</v>
      </c>
      <c r="B81" s="9" t="s">
        <v>978</v>
      </c>
      <c r="C81" s="9" t="s">
        <v>979</v>
      </c>
      <c r="D81" s="9" t="s">
        <v>980</v>
      </c>
      <c r="E81" s="9" t="s">
        <v>981</v>
      </c>
      <c r="F81" s="9" t="s">
        <v>982</v>
      </c>
      <c r="G81" s="9" t="s">
        <v>985</v>
      </c>
      <c r="L81" s="26">
        <f>$I$38*$L$38</f>
        <v>0</v>
      </c>
      <c r="M81" s="26">
        <f>$I$38*$M$38</f>
        <v>0</v>
      </c>
      <c r="N81" s="26">
        <f>$I$38*$N$38</f>
        <v>0</v>
      </c>
      <c r="O81" s="26">
        <f>$I$38*$O$38</f>
        <v>0</v>
      </c>
      <c r="P81" s="26">
        <f>$I$38*$P$38</f>
        <v>0</v>
      </c>
      <c r="Q81" s="26">
        <f>$I$38*$Q$38</f>
        <v>0</v>
      </c>
      <c r="R81" s="26">
        <f>$I$38*$R$38</f>
        <v>0</v>
      </c>
      <c r="S81" s="26">
        <f>$I$38*$S$38</f>
        <v>0</v>
      </c>
      <c r="T81" s="26">
        <f>$I$38*$T$38</f>
        <v>0</v>
      </c>
      <c r="U81" s="26">
        <f>$I$38*$U$38</f>
        <v>0</v>
      </c>
      <c r="V81" s="26">
        <f>$I$38*$V$38</f>
        <v>0</v>
      </c>
      <c r="X81" s="26">
        <f>$I$38*$X$38</f>
        <v>0</v>
      </c>
      <c r="Y81" s="26">
        <f>$I$38*$Y$38</f>
        <v>0</v>
      </c>
      <c r="Z81" s="26">
        <f>$I$38*$Z$38</f>
        <v>0</v>
      </c>
      <c r="AA81" s="26">
        <f>$I$38*$AA$38</f>
        <v>0</v>
      </c>
      <c r="AB81" s="26">
        <f>$I$38*$AB$38</f>
        <v>0</v>
      </c>
      <c r="AC81" s="26">
        <f>$I$38*$AC$38</f>
        <v>0</v>
      </c>
      <c r="AD81" s="26">
        <f>$I$38*$AD$38</f>
        <v>0</v>
      </c>
      <c r="AE81" s="26">
        <f>$I$38*$AE$38</f>
        <v>0</v>
      </c>
      <c r="AF81" s="26">
        <f>$I$38*$AF$38</f>
        <v>0</v>
      </c>
      <c r="AG81" s="26">
        <f>$I$38*$AG$38</f>
        <v>0</v>
      </c>
      <c r="AH81" s="26">
        <f>$I$38*$AH$38</f>
        <v>0</v>
      </c>
    </row>
    <row r="82" spans="1:34" ht="11.25" customHeight="1" x14ac:dyDescent="0.25">
      <c r="A82" s="9" t="s">
        <v>37</v>
      </c>
      <c r="B82" s="9" t="s">
        <v>986</v>
      </c>
      <c r="C82" s="9" t="s">
        <v>987</v>
      </c>
      <c r="D82" s="9" t="s">
        <v>988</v>
      </c>
      <c r="E82" s="9" t="s">
        <v>989</v>
      </c>
      <c r="F82" s="9" t="s">
        <v>990</v>
      </c>
      <c r="G82" s="9" t="s">
        <v>991</v>
      </c>
      <c r="L82" s="26">
        <f>$I$39*$L$39</f>
        <v>0</v>
      </c>
      <c r="M82" s="26">
        <f>$I$39*$M$39</f>
        <v>0</v>
      </c>
      <c r="N82" s="26">
        <f>$I$39*$N$39</f>
        <v>0</v>
      </c>
      <c r="O82" s="26">
        <f>$I$39*$O$39</f>
        <v>0</v>
      </c>
      <c r="P82" s="26">
        <f>$I$39*$P$39</f>
        <v>0</v>
      </c>
      <c r="Q82" s="26">
        <f>$I$39*$Q$39</f>
        <v>172954.61042758092</v>
      </c>
      <c r="R82" s="26">
        <f>$I$39*$R$39</f>
        <v>0</v>
      </c>
      <c r="S82" s="26">
        <f>$I$39*$S$39</f>
        <v>0</v>
      </c>
      <c r="T82" s="26">
        <f>$I$39*$T$39</f>
        <v>0</v>
      </c>
      <c r="U82" s="26">
        <f>$I$39*$U$39</f>
        <v>-2485.8549620970016</v>
      </c>
      <c r="V82" s="26">
        <f>$I$39*$V$39</f>
        <v>0</v>
      </c>
      <c r="X82" s="26">
        <f>$I$39*$X$39</f>
        <v>0</v>
      </c>
      <c r="Y82" s="26">
        <f>$I$39*$Y$39</f>
        <v>0</v>
      </c>
      <c r="Z82" s="26">
        <f>$I$39*$Z$39</f>
        <v>0</v>
      </c>
      <c r="AA82" s="26">
        <f>$I$39*$AA$39</f>
        <v>0</v>
      </c>
      <c r="AB82" s="26">
        <f>$I$39*$AB$39</f>
        <v>0</v>
      </c>
      <c r="AC82" s="26">
        <f>$I$39*$AC$39</f>
        <v>193077.85507042037</v>
      </c>
      <c r="AD82" s="26">
        <f>$I$39*$AD$39</f>
        <v>0</v>
      </c>
      <c r="AE82" s="26">
        <f>$I$39*$AE$39</f>
        <v>0</v>
      </c>
      <c r="AF82" s="26">
        <f>$I$39*$AF$39</f>
        <v>0</v>
      </c>
      <c r="AG82" s="26">
        <f>$I$39*$AG$39</f>
        <v>0</v>
      </c>
      <c r="AH82" s="26">
        <f>$I$39*$AH$39</f>
        <v>0</v>
      </c>
    </row>
    <row r="83" spans="1:34" ht="11.25" customHeight="1" x14ac:dyDescent="0.25">
      <c r="A83" s="9" t="s">
        <v>37</v>
      </c>
      <c r="B83" s="9" t="s">
        <v>992</v>
      </c>
      <c r="C83" s="9" t="s">
        <v>993</v>
      </c>
      <c r="D83" s="9" t="s">
        <v>994</v>
      </c>
      <c r="E83" s="9" t="s">
        <v>995</v>
      </c>
      <c r="F83" s="9" t="s">
        <v>996</v>
      </c>
      <c r="G83" s="9" t="s">
        <v>997</v>
      </c>
      <c r="L83" s="26">
        <f>$I$40*$L$40</f>
        <v>0</v>
      </c>
      <c r="M83" s="26">
        <f>$I$40*$M$40</f>
        <v>0</v>
      </c>
      <c r="N83" s="26">
        <f>$I$40*$N$40</f>
        <v>0</v>
      </c>
      <c r="O83" s="26">
        <f>$I$40*$O$40</f>
        <v>0</v>
      </c>
      <c r="P83" s="26">
        <f>$I$40*$P$40</f>
        <v>0</v>
      </c>
      <c r="Q83" s="26">
        <f>$I$40*$Q$40</f>
        <v>0</v>
      </c>
      <c r="R83" s="26">
        <f>$I$40*$R$40</f>
        <v>0</v>
      </c>
      <c r="S83" s="26">
        <f>$I$40*$S$40</f>
        <v>0</v>
      </c>
      <c r="T83" s="26">
        <f>$I$40*$T$40</f>
        <v>0</v>
      </c>
      <c r="U83" s="26">
        <f>$I$40*$U$40</f>
        <v>0</v>
      </c>
      <c r="V83" s="26">
        <f>$I$40*$V$40</f>
        <v>0</v>
      </c>
      <c r="X83" s="26">
        <f>$I$40*$X$40</f>
        <v>0</v>
      </c>
      <c r="Y83" s="26">
        <f>$I$40*$Y$40</f>
        <v>0</v>
      </c>
      <c r="Z83" s="26">
        <f>$I$40*$Z$40</f>
        <v>0</v>
      </c>
      <c r="AA83" s="26">
        <f>$I$40*$AA$40</f>
        <v>0</v>
      </c>
      <c r="AB83" s="26">
        <f>$I$40*$AB$40</f>
        <v>0</v>
      </c>
      <c r="AC83" s="26">
        <f>$I$40*$AC$40</f>
        <v>0</v>
      </c>
      <c r="AD83" s="26">
        <f>$I$40*$AD$40</f>
        <v>0</v>
      </c>
      <c r="AE83" s="26">
        <f>$I$40*$AE$40</f>
        <v>0</v>
      </c>
      <c r="AF83" s="26">
        <f>$I$40*$AF$40</f>
        <v>0</v>
      </c>
      <c r="AG83" s="26">
        <f>$I$40*$AG$40</f>
        <v>0</v>
      </c>
      <c r="AH83" s="26">
        <f>$I$40*$AH$40</f>
        <v>0</v>
      </c>
    </row>
    <row r="84" spans="1:34" ht="11.25" customHeight="1" x14ac:dyDescent="0.25">
      <c r="A84" s="9" t="s">
        <v>44</v>
      </c>
      <c r="B84" s="9" t="s">
        <v>998</v>
      </c>
      <c r="C84" s="9" t="s">
        <v>999</v>
      </c>
      <c r="D84" s="9" t="s">
        <v>1000</v>
      </c>
      <c r="E84" s="9" t="s">
        <v>1001</v>
      </c>
      <c r="F84" s="9" t="s">
        <v>1002</v>
      </c>
      <c r="G84" s="9" t="s">
        <v>1003</v>
      </c>
      <c r="L84" s="26">
        <f>$I$41*$L$41</f>
        <v>0</v>
      </c>
      <c r="M84" s="26">
        <f>$I$41*$M$41</f>
        <v>0</v>
      </c>
      <c r="N84" s="26">
        <f>$I$41*$N$41</f>
        <v>0</v>
      </c>
      <c r="O84" s="26">
        <f>$I$41*$O$41</f>
        <v>0</v>
      </c>
      <c r="P84" s="26">
        <f>$I$41*$P$41</f>
        <v>0</v>
      </c>
      <c r="Q84" s="26">
        <f>$I$41*$Q$41</f>
        <v>31918.261572249983</v>
      </c>
      <c r="R84" s="26">
        <f>$I$41*$R$41</f>
        <v>0</v>
      </c>
      <c r="S84" s="26">
        <f>$I$41*$S$41</f>
        <v>0</v>
      </c>
      <c r="T84" s="26">
        <f>$I$41*$T$41</f>
        <v>0</v>
      </c>
      <c r="U84" s="26">
        <f>$I$41*$U$41</f>
        <v>-458.75717747408902</v>
      </c>
      <c r="V84" s="26">
        <f>$I$41*$V$41</f>
        <v>0</v>
      </c>
      <c r="X84" s="26">
        <f>$I$41*$X$41</f>
        <v>0</v>
      </c>
      <c r="Y84" s="26">
        <f>$I$41*$Y$41</f>
        <v>0</v>
      </c>
      <c r="Z84" s="26">
        <f>$I$41*$Z$41</f>
        <v>0</v>
      </c>
      <c r="AA84" s="26">
        <f>$I$41*$AA$41</f>
        <v>0</v>
      </c>
      <c r="AB84" s="26">
        <f>$I$41*$AB$41</f>
        <v>0</v>
      </c>
      <c r="AC84" s="26">
        <f>$I$41*$AC$41</f>
        <v>35631.946825303545</v>
      </c>
      <c r="AD84" s="26">
        <f>$I$41*$AD$41</f>
        <v>0</v>
      </c>
      <c r="AE84" s="26">
        <f>$I$41*$AE$41</f>
        <v>0</v>
      </c>
      <c r="AF84" s="26">
        <f>$I$41*$AF$41</f>
        <v>0</v>
      </c>
      <c r="AG84" s="26">
        <f>$I$41*$AG$41</f>
        <v>0</v>
      </c>
      <c r="AH84" s="26">
        <f>$I$41*$AH$41</f>
        <v>0</v>
      </c>
    </row>
    <row r="85" spans="1:34" ht="11.25" customHeight="1" x14ac:dyDescent="0.25">
      <c r="A85" s="9" t="s">
        <v>44</v>
      </c>
      <c r="B85" s="9" t="s">
        <v>998</v>
      </c>
      <c r="C85" s="9" t="s">
        <v>999</v>
      </c>
      <c r="D85" s="9" t="s">
        <v>1004</v>
      </c>
      <c r="E85" s="9" t="s">
        <v>1005</v>
      </c>
      <c r="F85" s="9" t="s">
        <v>1006</v>
      </c>
      <c r="G85" s="9" t="s">
        <v>1007</v>
      </c>
      <c r="L85" s="26">
        <f>$I$42*$L$42</f>
        <v>0</v>
      </c>
      <c r="M85" s="26">
        <f>$I$42*$M$42</f>
        <v>0</v>
      </c>
      <c r="N85" s="26">
        <f>$I$42*$N$42</f>
        <v>0</v>
      </c>
      <c r="O85" s="26">
        <f>$I$42*$O$42</f>
        <v>0</v>
      </c>
      <c r="P85" s="26">
        <f>$I$42*$P$42</f>
        <v>0</v>
      </c>
      <c r="Q85" s="26">
        <f>$I$42*$Q$42</f>
        <v>0</v>
      </c>
      <c r="R85" s="26">
        <f>$I$42*$R$42</f>
        <v>0</v>
      </c>
      <c r="S85" s="26">
        <f>$I$42*$S$42</f>
        <v>0</v>
      </c>
      <c r="T85" s="26">
        <f>$I$42*$T$42</f>
        <v>0</v>
      </c>
      <c r="U85" s="26">
        <f>$I$42*$U$42</f>
        <v>0</v>
      </c>
      <c r="V85" s="26">
        <f>$I$42*$V$42</f>
        <v>0</v>
      </c>
      <c r="X85" s="26">
        <f>$I$42*$X$42</f>
        <v>0</v>
      </c>
      <c r="Y85" s="26">
        <f>$I$42*$Y$42</f>
        <v>0</v>
      </c>
      <c r="Z85" s="26">
        <f>$I$42*$Z$42</f>
        <v>0</v>
      </c>
      <c r="AA85" s="26">
        <f>$I$42*$AA$42</f>
        <v>0</v>
      </c>
      <c r="AB85" s="26">
        <f>$I$42*$AB$42</f>
        <v>0</v>
      </c>
      <c r="AC85" s="26">
        <f>$I$42*$AC$42</f>
        <v>0</v>
      </c>
      <c r="AD85" s="26">
        <f>$I$42*$AD$42</f>
        <v>0</v>
      </c>
      <c r="AE85" s="26">
        <f>$I$42*$AE$42</f>
        <v>0</v>
      </c>
      <c r="AF85" s="26">
        <f>$I$42*$AF$42</f>
        <v>0</v>
      </c>
      <c r="AG85" s="26">
        <f>$I$42*$AG$42</f>
        <v>0</v>
      </c>
      <c r="AH85" s="26">
        <f>$I$42*$AH$42</f>
        <v>0</v>
      </c>
    </row>
  </sheetData>
  <mergeCells count="69">
    <mergeCell ref="L44:V44"/>
    <mergeCell ref="X44:AH44"/>
    <mergeCell ref="L45:V45"/>
    <mergeCell ref="X45:AH45"/>
    <mergeCell ref="L46:P46"/>
    <mergeCell ref="R46:T46"/>
    <mergeCell ref="X46:AB46"/>
    <mergeCell ref="AD46:AF46"/>
    <mergeCell ref="E36:E38"/>
    <mergeCell ref="F36:F38"/>
    <mergeCell ref="A41:A42"/>
    <mergeCell ref="B41:B42"/>
    <mergeCell ref="C41:C42"/>
    <mergeCell ref="A36:A40"/>
    <mergeCell ref="B36:B38"/>
    <mergeCell ref="C36:C38"/>
    <mergeCell ref="D36:D38"/>
    <mergeCell ref="X1:AH1"/>
    <mergeCell ref="X2:AH2"/>
    <mergeCell ref="X3:AB3"/>
    <mergeCell ref="AD3:AF3"/>
    <mergeCell ref="B33:B35"/>
    <mergeCell ref="C33:C35"/>
    <mergeCell ref="F25:F27"/>
    <mergeCell ref="B29:B31"/>
    <mergeCell ref="C29:C31"/>
    <mergeCell ref="D29:D31"/>
    <mergeCell ref="E29:E31"/>
    <mergeCell ref="F29:F31"/>
    <mergeCell ref="F21:F23"/>
    <mergeCell ref="F8:F10"/>
    <mergeCell ref="F5:F6"/>
    <mergeCell ref="G1:G4"/>
    <mergeCell ref="A21:A35"/>
    <mergeCell ref="B21:B23"/>
    <mergeCell ref="C21:C23"/>
    <mergeCell ref="D21:D23"/>
    <mergeCell ref="E21:E23"/>
    <mergeCell ref="B25:B27"/>
    <mergeCell ref="C25:C27"/>
    <mergeCell ref="D25:D27"/>
    <mergeCell ref="E25:E27"/>
    <mergeCell ref="A8:A20"/>
    <mergeCell ref="B8:B10"/>
    <mergeCell ref="C8:C10"/>
    <mergeCell ref="D8:D10"/>
    <mergeCell ref="E8:E10"/>
    <mergeCell ref="B11:B15"/>
    <mergeCell ref="C11:C15"/>
    <mergeCell ref="B16:B20"/>
    <mergeCell ref="C16:C20"/>
    <mergeCell ref="A5:A7"/>
    <mergeCell ref="B5:B6"/>
    <mergeCell ref="C5:C6"/>
    <mergeCell ref="D5:D6"/>
    <mergeCell ref="E5:E6"/>
    <mergeCell ref="H1:H4"/>
    <mergeCell ref="I1:I4"/>
    <mergeCell ref="J1:J4"/>
    <mergeCell ref="L1:V1"/>
    <mergeCell ref="L2:V2"/>
    <mergeCell ref="L3:P3"/>
    <mergeCell ref="R3:T3"/>
    <mergeCell ref="F1:F4"/>
    <mergeCell ref="A1:A4"/>
    <mergeCell ref="B1:B4"/>
    <mergeCell ref="C1:C4"/>
    <mergeCell ref="D1:D4"/>
    <mergeCell ref="E1:E4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0632-DA50-4461-B6CF-8A8FC8954199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2.42578125" style="14" bestFit="1" customWidth="1"/>
    <col min="3" max="7" width="10.28515625" style="14" bestFit="1" customWidth="1"/>
    <col min="8" max="8" width="8.7109375" style="14" bestFit="1" customWidth="1"/>
    <col min="9" max="9" width="8" style="14" bestFit="1" customWidth="1"/>
    <col min="10" max="10" width="7.28515625" style="14" bestFit="1" customWidth="1"/>
    <col min="11" max="11" width="7.140625" style="14" bestFit="1" customWidth="1"/>
    <col min="12" max="12" width="9.5703125" style="14" bestFit="1" customWidth="1"/>
    <col min="13" max="13" width="9.7109375" style="14" bestFit="1" customWidth="1"/>
    <col min="14" max="14" width="10" style="14" bestFit="1" customWidth="1"/>
    <col min="15" max="15" width="7.42578125" style="14" bestFit="1" customWidth="1"/>
    <col min="16" max="16" width="9.7109375" style="14" bestFit="1" customWidth="1"/>
    <col min="17" max="17" width="11" style="14" bestFit="1" customWidth="1"/>
    <col min="18" max="18" width="9.28515625" style="14" bestFit="1" customWidth="1"/>
    <col min="19" max="19" width="7.140625" style="14" bestFit="1" customWidth="1"/>
    <col min="20" max="20" width="14.5703125" style="14" bestFit="1" customWidth="1"/>
    <col min="21" max="21" width="17.7109375" style="14" bestFit="1" customWidth="1"/>
    <col min="22" max="22" width="18.42578125" style="14" bestFit="1" customWidth="1"/>
    <col min="23" max="23" width="6" style="14" bestFit="1" customWidth="1"/>
    <col min="24" max="24" width="10.85546875" style="14" bestFit="1" customWidth="1"/>
    <col min="25" max="26" width="9.140625" style="14"/>
    <col min="27" max="27" width="3" style="14" bestFit="1" customWidth="1"/>
    <col min="28" max="28" width="21.57031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15</v>
      </c>
      <c r="G1" s="14" t="s">
        <v>62</v>
      </c>
      <c r="I1" s="14" t="s">
        <v>1015</v>
      </c>
      <c r="AA1" s="14" t="s">
        <v>39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39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77</v>
      </c>
      <c r="AB2" s="14" t="s">
        <v>71</v>
      </c>
      <c r="AC2" s="14" t="s">
        <v>24</v>
      </c>
      <c r="AD2" s="14" t="s">
        <v>24</v>
      </c>
      <c r="AE2" s="14" t="s">
        <v>75</v>
      </c>
      <c r="AG2" s="14" t="s">
        <v>73</v>
      </c>
    </row>
    <row r="3" spans="1:33" x14ac:dyDescent="0.2">
      <c r="AA3" s="14" t="s">
        <v>22</v>
      </c>
      <c r="AB3" s="14" t="s">
        <v>76</v>
      </c>
      <c r="AC3" s="14" t="s">
        <v>42</v>
      </c>
      <c r="AD3" s="14" t="s">
        <v>29</v>
      </c>
      <c r="AE3" s="14" t="s">
        <v>78</v>
      </c>
      <c r="AG3" s="14" t="s">
        <v>74</v>
      </c>
    </row>
    <row r="4" spans="1:33" x14ac:dyDescent="0.2">
      <c r="AA4" s="14" t="s">
        <v>41</v>
      </c>
      <c r="AB4" s="14" t="s">
        <v>40</v>
      </c>
      <c r="AC4" s="14" t="s">
        <v>45</v>
      </c>
      <c r="AD4" s="14" t="s">
        <v>30</v>
      </c>
      <c r="AE4" s="14" t="s">
        <v>79</v>
      </c>
      <c r="AG4" s="14" t="s">
        <v>70</v>
      </c>
    </row>
    <row r="5" spans="1:33" x14ac:dyDescent="0.2">
      <c r="A5" s="14" t="s">
        <v>1008</v>
      </c>
      <c r="B5" s="14" t="str">
        <f>TUSD!$AI$4</f>
        <v>CDE Covid TUSD</v>
      </c>
      <c r="C5" s="14" t="str">
        <f>TUSD!$AJ$4</f>
        <v>TFSEE</v>
      </c>
      <c r="D5" s="14" t="str">
        <f>TUSD!$AK$4</f>
        <v>P&amp;D</v>
      </c>
      <c r="E5" s="14" t="str">
        <f>TUSD!$AL$4</f>
        <v>ONS</v>
      </c>
      <c r="F5" s="14" t="str">
        <f>TUSD!$AM$4</f>
        <v>CCC</v>
      </c>
      <c r="G5" s="14" t="str">
        <f>TUSD!$AN$4</f>
        <v>CDE</v>
      </c>
      <c r="H5" s="14" t="str">
        <f>TUSD!$AO$4</f>
        <v>PROINFA</v>
      </c>
      <c r="I5" s="14" t="str">
        <f>TUSD!$AP$4</f>
        <v>LIMINAR 1</v>
      </c>
      <c r="J5" s="14" t="str">
        <f>TUSD!$AQ$4</f>
        <v>TUSD RB</v>
      </c>
      <c r="K5" s="14" t="str">
        <f>TUSD!$AR$4</f>
        <v>TUSD FR</v>
      </c>
      <c r="L5" s="14" t="str">
        <f>TUSD!$AS$4</f>
        <v>CONEXAO T</v>
      </c>
      <c r="M5" s="14" t="str">
        <f>TUSD!$AT$4</f>
        <v>CONEXAO D</v>
      </c>
      <c r="N5" s="14" t="str">
        <f>TUSD!$AU$4</f>
        <v>CUSD</v>
      </c>
      <c r="O5" s="14" t="str">
        <f>TUSD!$AV$4</f>
        <v>TUSDG-T</v>
      </c>
      <c r="P5" s="14" t="str">
        <f>TUSD!$AW$4</f>
        <v>TUSDG-ONS</v>
      </c>
      <c r="Q5" s="14" t="str">
        <f>TUSD!$AX$4</f>
        <v>DISTRIBUICAO</v>
      </c>
      <c r="R5" s="14" t="str">
        <f>TUSD!$AY$4</f>
        <v>SUBSIDIO</v>
      </c>
      <c r="S5" s="14" t="str">
        <f>TUSD!$AZ$4</f>
        <v>OUTROS</v>
      </c>
      <c r="T5" s="14" t="str">
        <f>TUSD!$BA$4</f>
        <v>PERDAS TECNICAS</v>
      </c>
      <c r="U5" s="14" t="str">
        <f>TUSD!$BB$4</f>
        <v>PERDAS RB/ PERDAS D</v>
      </c>
      <c r="V5" s="14" t="str">
        <f>TUSD!$BC$4</f>
        <v>PERDAS NAO TECNICAS</v>
      </c>
      <c r="W5" s="14" t="str">
        <f>TUSD!$BD$4</f>
        <v>RI</v>
      </c>
      <c r="X5" s="14" t="s">
        <v>437</v>
      </c>
      <c r="AA5" s="14" t="s">
        <v>37</v>
      </c>
      <c r="AB5" s="14" t="s">
        <v>33</v>
      </c>
      <c r="AD5" s="14" t="s">
        <v>31</v>
      </c>
      <c r="AG5" s="14" t="s">
        <v>9</v>
      </c>
    </row>
    <row r="6" spans="1:33" x14ac:dyDescent="0.2">
      <c r="A6" s="14" t="s">
        <v>1009</v>
      </c>
      <c r="B6" s="45">
        <f>SUM(TUSD!$AI$57:'TUSD'!$AI$103)</f>
        <v>0</v>
      </c>
      <c r="C6" s="45">
        <f>SUM(TUSD!$AJ$57:'TUSD'!$AJ$103)</f>
        <v>33929.19747478066</v>
      </c>
      <c r="D6" s="45">
        <f>SUM(TUSD!$AK$57:'TUSD'!$AK$103)</f>
        <v>0</v>
      </c>
      <c r="E6" s="45">
        <f>SUM(TUSD!$AL$57:'TUSD'!$AL$103)</f>
        <v>0</v>
      </c>
      <c r="F6" s="45">
        <f>SUM(TUSD!$AM$57:'TUSD'!$AM$103)</f>
        <v>0</v>
      </c>
      <c r="G6" s="45">
        <f>SUM(TUSD!$AN$57:'TUSD'!$AN$103)</f>
        <v>912726.22656060674</v>
      </c>
      <c r="H6" s="45">
        <f>SUM(TUSD!$AO$57:'TUSD'!$AO$103)</f>
        <v>143258.91409594918</v>
      </c>
      <c r="I6" s="45">
        <f>SUM(TUSD!$AP$57:'TUSD'!$AP$103)</f>
        <v>0</v>
      </c>
      <c r="J6" s="45">
        <f>SUM(TUSD!$AQ$57:'TUSD'!$AQ$103)</f>
        <v>0</v>
      </c>
      <c r="K6" s="45">
        <f>SUM(TUSD!$AR$57:'TUSD'!$AR$103)</f>
        <v>0</v>
      </c>
      <c r="L6" s="45">
        <f>SUM(TUSD!$AS$57:'TUSD'!$AS$103)</f>
        <v>0</v>
      </c>
      <c r="M6" s="45">
        <f>SUM(TUSD!$AT$57:'TUSD'!$AT$103)</f>
        <v>0</v>
      </c>
      <c r="N6" s="45">
        <f>SUM(TUSD!$AU$57:'TUSD'!$AU$103)</f>
        <v>1627336.8207389086</v>
      </c>
      <c r="O6" s="45">
        <f>SUM(TUSD!$AV$57:'TUSD'!$AV$103)</f>
        <v>0</v>
      </c>
      <c r="P6" s="45">
        <f>SUM(TUSD!$AW$57:'TUSD'!$AW$103)</f>
        <v>0</v>
      </c>
      <c r="Q6" s="45">
        <f>SUM(TUSD!$AX$57:'TUSD'!$AX$103)</f>
        <v>5296575.0664422382</v>
      </c>
      <c r="R6" s="45">
        <f>SUM(TUSD!$AY$57:'TUSD'!$AY$103)</f>
        <v>0</v>
      </c>
      <c r="S6" s="45">
        <f>SUM(TUSD!$AZ$57:'TUSD'!$AZ$103)</f>
        <v>0</v>
      </c>
      <c r="T6" s="45">
        <f>SUM(TUSD!$BA$57:'TUSD'!$BA$103)</f>
        <v>461399.03707318607</v>
      </c>
      <c r="U6" s="45">
        <f>SUM(TUSD!$BB$57:'TUSD'!$BB$103)</f>
        <v>0</v>
      </c>
      <c r="V6" s="45">
        <f>SUM(TUSD!$BC$57:'TUSD'!$BC$103)</f>
        <v>0</v>
      </c>
      <c r="W6" s="45">
        <f>SUM(TUSD!$BD$57:'TUSD'!$BD$103)</f>
        <v>0</v>
      </c>
      <c r="X6" s="45">
        <f t="shared" ref="X6:X11" si="0">SUM(B6:W6)</f>
        <v>8475225.2623856701</v>
      </c>
      <c r="AA6" s="14" t="s">
        <v>44</v>
      </c>
      <c r="AB6" s="14" t="s">
        <v>23</v>
      </c>
      <c r="AD6" s="14" t="s">
        <v>32</v>
      </c>
      <c r="AG6" s="14" t="s">
        <v>67</v>
      </c>
    </row>
    <row r="7" spans="1:33" x14ac:dyDescent="0.2">
      <c r="A7" s="14" t="s">
        <v>1010</v>
      </c>
      <c r="B7" s="45">
        <f>SUM(TUSD!$L$57:'TUSD'!$L$103)</f>
        <v>0</v>
      </c>
      <c r="C7" s="45">
        <f>SUM(TUSD!$M$57:'TUSD'!$M$103)</f>
        <v>42719.087220753368</v>
      </c>
      <c r="D7" s="45">
        <f ca="1">SUM(TUSD!$N$57:'TUSD'!$N$103)</f>
        <v>0</v>
      </c>
      <c r="E7" s="45">
        <f>SUM(TUSD!$O$57:'TUSD'!$O$103)</f>
        <v>0</v>
      </c>
      <c r="F7" s="45">
        <f>SUM(TUSD!$P$57:'TUSD'!$P$103)</f>
        <v>0</v>
      </c>
      <c r="G7" s="45">
        <f>SUM(TUSD!$Q$57:'TUSD'!$Q$103)</f>
        <v>1429219.1645466466</v>
      </c>
      <c r="H7" s="45">
        <f>SUM(TUSD!$R$57:'TUSD'!$R$103)</f>
        <v>228185.8999651676</v>
      </c>
      <c r="I7" s="45">
        <f>SUM(TUSD!$S$57:'TUSD'!$S$103)</f>
        <v>0</v>
      </c>
      <c r="J7" s="45">
        <f>SUM(TUSD!$T$57:'TUSD'!$T$103)</f>
        <v>0</v>
      </c>
      <c r="K7" s="45">
        <f>SUM(TUSD!$U$57:'TUSD'!$U$103)</f>
        <v>0</v>
      </c>
      <c r="L7" s="45">
        <f>SUM(TUSD!$V$57:'TUSD'!$V$103)</f>
        <v>0</v>
      </c>
      <c r="M7" s="45">
        <f>SUM(TUSD!$W$57:'TUSD'!$W$103)</f>
        <v>0</v>
      </c>
      <c r="N7" s="45">
        <f>SUM(TUSD!$X$57:'TUSD'!$X$103)</f>
        <v>2197117.9014707273</v>
      </c>
      <c r="O7" s="45">
        <f>SUM(TUSD!$Y$57:'TUSD'!$Y$103)</f>
        <v>0</v>
      </c>
      <c r="P7" s="45">
        <f>SUM(TUSD!$Z$57:'TUSD'!$Z$103)</f>
        <v>0</v>
      </c>
      <c r="Q7" s="45">
        <f>SUM(TUSD!$AA$57:'TUSD'!$AA$103)</f>
        <v>6165638.5233346997</v>
      </c>
      <c r="R7" s="45">
        <f ca="1">SUM(TUSD!$AB$57:'TUSD'!$AB$103)</f>
        <v>-186450.17283583773</v>
      </c>
      <c r="S7" s="45">
        <f ca="1">SUM(TUSD!$AC$57:'TUSD'!$AC$103)</f>
        <v>0</v>
      </c>
      <c r="T7" s="45">
        <f>SUM(TUSD!$AD$57:'TUSD'!$AD$103)</f>
        <v>362564.9080781368</v>
      </c>
      <c r="U7" s="45">
        <f>SUM(TUSD!$AE$57:'TUSD'!$AE$103)</f>
        <v>0</v>
      </c>
      <c r="V7" s="45">
        <f ca="1">SUM(TUSD!$AF$57:'TUSD'!$AF$103)</f>
        <v>0</v>
      </c>
      <c r="W7" s="45">
        <f ca="1">SUM(TUSD!$AG$57:'TUSD'!$AG$103)</f>
        <v>0</v>
      </c>
      <c r="X7" s="45">
        <f t="shared" ca="1" si="0"/>
        <v>10238995.311780293</v>
      </c>
      <c r="AB7" s="14" t="s">
        <v>82</v>
      </c>
      <c r="AD7" s="14" t="s">
        <v>83</v>
      </c>
      <c r="AG7" s="14" t="s">
        <v>68</v>
      </c>
    </row>
    <row r="8" spans="1:33" x14ac:dyDescent="0.2">
      <c r="A8" s="14" t="s">
        <v>1013</v>
      </c>
      <c r="B8" s="45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45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1280.7219844938531</v>
      </c>
      <c r="D8" s="45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0</v>
      </c>
      <c r="E8" s="45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45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45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67772.566271294432</v>
      </c>
      <c r="H8" s="45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12092.712525128585</v>
      </c>
      <c r="I8" s="45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45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45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45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45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45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115902.19953441063</v>
      </c>
      <c r="O8" s="45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45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45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177539.2407552393</v>
      </c>
      <c r="R8" s="45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0</v>
      </c>
      <c r="S8" s="45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45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6989.2434080004396</v>
      </c>
      <c r="U8" s="45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45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0</v>
      </c>
      <c r="W8" s="45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45">
        <f t="shared" si="0"/>
        <v>381576.68447856721</v>
      </c>
      <c r="AD8" s="14" t="s">
        <v>84</v>
      </c>
      <c r="AG8" s="14" t="s">
        <v>80</v>
      </c>
    </row>
    <row r="9" spans="1:33" x14ac:dyDescent="0.2">
      <c r="A9" s="14" t="s">
        <v>1014</v>
      </c>
      <c r="B9" s="45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0</v>
      </c>
      <c r="C9" s="45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1428.0958831218886</v>
      </c>
      <c r="D9" s="45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45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45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45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102455.332002489</v>
      </c>
      <c r="H9" s="45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19211.235317888062</v>
      </c>
      <c r="I9" s="45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45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45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45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45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45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156080.94285089202</v>
      </c>
      <c r="O9" s="45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45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45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206116.94600749871</v>
      </c>
      <c r="R9" s="45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-8276.6763162271836</v>
      </c>
      <c r="S9" s="45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45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5477.15843038194</v>
      </c>
      <c r="U9" s="45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0</v>
      </c>
      <c r="V9" s="45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0</v>
      </c>
      <c r="W9" s="45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45">
        <f t="shared" ca="1" si="0"/>
        <v>482493.0341760444</v>
      </c>
      <c r="AD9" s="14" t="s">
        <v>46</v>
      </c>
    </row>
    <row r="10" spans="1:33" x14ac:dyDescent="0.2">
      <c r="A10" s="14" t="s">
        <v>1011</v>
      </c>
      <c r="B10" s="45">
        <f>SUMIF(TUSD!$A$57:'TUSD'!$A$103,$A$2,TUSD!$AI$57:'TUSD'!$AI$103)</f>
        <v>0</v>
      </c>
      <c r="C10" s="45">
        <f>SUMIF(TUSD!$A$57:'TUSD'!$A$103,$A$2,TUSD!$AJ$57:'TUSD'!$AJ$103)</f>
        <v>1280.7219844938531</v>
      </c>
      <c r="D10" s="45">
        <f>SUMIF(TUSD!$A$57:'TUSD'!$A$103,$A$2,TUSD!$AK$57:'TUSD'!$AK$103)</f>
        <v>0</v>
      </c>
      <c r="E10" s="45">
        <f>SUMIF(TUSD!$A$57:'TUSD'!$A$103,$A$2,TUSD!$AL$57:'TUSD'!$AL$103)</f>
        <v>0</v>
      </c>
      <c r="F10" s="45">
        <f>SUMIF(TUSD!$A$57:'TUSD'!$A$103,$A$2,TUSD!$AM$57:'TUSD'!$AM$103)</f>
        <v>0</v>
      </c>
      <c r="G10" s="45">
        <f>SUMIF(TUSD!$A$57:'TUSD'!$A$103,$A$2,TUSD!$AN$57:'TUSD'!$AN$103)</f>
        <v>67772.566271294432</v>
      </c>
      <c r="H10" s="45">
        <f>SUMIF(TUSD!$A$57:'TUSD'!$A$103,$A$2,TUSD!$AO$57:'TUSD'!$AO$103)</f>
        <v>12092.712525128585</v>
      </c>
      <c r="I10" s="45">
        <f>SUMIF(TUSD!$A$57:'TUSD'!$A$103,$A$2,TUSD!$AP$57:'TUSD'!$AP$103)</f>
        <v>0</v>
      </c>
      <c r="J10" s="45">
        <f>SUMIF(TUSD!$A$57:'TUSD'!$A$103,$A$2,TUSD!$AQ$57:'TUSD'!$AQ$103)</f>
        <v>0</v>
      </c>
      <c r="K10" s="45">
        <f>SUMIF(TUSD!$A$57:'TUSD'!$A$103,$A$2,TUSD!$AR$57:'TUSD'!$AR$103)</f>
        <v>0</v>
      </c>
      <c r="L10" s="45">
        <f>SUMIF(TUSD!$A$57:'TUSD'!$A$103,$A$2,TUSD!$AS$57:'TUSD'!$AS$103)</f>
        <v>0</v>
      </c>
      <c r="M10" s="45">
        <f>SUMIF(TUSD!$A$57:'TUSD'!$A$103,$A$2,TUSD!$AT$57:'TUSD'!$AT$103)</f>
        <v>0</v>
      </c>
      <c r="N10" s="45">
        <f>SUMIF(TUSD!$A$57:'TUSD'!$A$103,$A$2,TUSD!$AU$57:'TUSD'!$AU$103)</f>
        <v>115902.19953441063</v>
      </c>
      <c r="O10" s="45">
        <f>SUMIF(TUSD!$A$57:'TUSD'!$A$103,$A$2,TUSD!$AV$57:'TUSD'!$AV$103)</f>
        <v>0</v>
      </c>
      <c r="P10" s="45">
        <f>SUMIF(TUSD!$A$57:'TUSD'!$A$103,$A$2,TUSD!$AW$57:'TUSD'!$AW$103)</f>
        <v>0</v>
      </c>
      <c r="Q10" s="45">
        <f>SUMIF(TUSD!$A$57:'TUSD'!$A$103,$A$2,TUSD!$AX$57:'TUSD'!$AX$103)</f>
        <v>177539.2407552393</v>
      </c>
      <c r="R10" s="45">
        <f>SUMIF(TUSD!$A$57:'TUSD'!$A$103,$A$2,TUSD!$AY$57:'TUSD'!$AY$103)</f>
        <v>0</v>
      </c>
      <c r="S10" s="45">
        <f>SUMIF(TUSD!$A$57:'TUSD'!$A$103,$A$2,TUSD!$AZ$57:'TUSD'!$AZ$103)</f>
        <v>0</v>
      </c>
      <c r="T10" s="45">
        <f>SUMIF(TUSD!$A$57:'TUSD'!$A$103,$A$2,TUSD!$BA$57:'TUSD'!$BA$103)</f>
        <v>6989.2434080004396</v>
      </c>
      <c r="U10" s="45">
        <f>SUMIF(TUSD!$A$57:'TUSD'!$A$103,$A$2,TUSD!$BB$57:'TUSD'!$BB$103)</f>
        <v>0</v>
      </c>
      <c r="V10" s="45">
        <f>SUMIF(TUSD!$A$57:'TUSD'!$A$103,$A$2,TUSD!$BC$57:'TUSD'!$BC$103)</f>
        <v>0</v>
      </c>
      <c r="W10" s="45">
        <f>SUMIF(TUSD!$A$57:'TUSD'!$A$103,$A$2,TUSD!$BD$57:'TUSD'!$BD$103)</f>
        <v>0</v>
      </c>
      <c r="X10" s="45">
        <f t="shared" si="0"/>
        <v>381576.68447856721</v>
      </c>
      <c r="AD10" s="14" t="s">
        <v>85</v>
      </c>
    </row>
    <row r="11" spans="1:33" x14ac:dyDescent="0.2">
      <c r="A11" s="14" t="s">
        <v>1012</v>
      </c>
      <c r="B11" s="45">
        <f>SUMIF(TUSD!$A$57:'TUSD'!$A$103,$A$2,TUSD!$L$57:'TUSD'!$L$103)</f>
        <v>0</v>
      </c>
      <c r="C11" s="45">
        <f>SUMIF(TUSD!$A$57:'TUSD'!$A$103,$A$2,TUSD!$M$57:'TUSD'!$M$103)</f>
        <v>1428.0958831218886</v>
      </c>
      <c r="D11" s="45">
        <f ca="1">SUMIF(TUSD!$A$57:'TUSD'!$A$103,$A$2,TUSD!$N$57:'TUSD'!$N$103)</f>
        <v>0</v>
      </c>
      <c r="E11" s="45">
        <f>SUMIF(TUSD!$A$57:'TUSD'!$A$103,$A$2,TUSD!$O$57:'TUSD'!$O$103)</f>
        <v>0</v>
      </c>
      <c r="F11" s="45">
        <f>SUMIF(TUSD!$A$57:'TUSD'!$A$103,$A$2,TUSD!$P$57:'TUSD'!$P$103)</f>
        <v>0</v>
      </c>
      <c r="G11" s="45">
        <f>SUMIF(TUSD!$A$57:'TUSD'!$A$103,$A$2,TUSD!$Q$57:'TUSD'!$Q$103)</f>
        <v>102455.332002489</v>
      </c>
      <c r="H11" s="45">
        <f>SUMIF(TUSD!$A$57:'TUSD'!$A$103,$A$2,TUSD!$R$57:'TUSD'!$R$103)</f>
        <v>19211.235317888062</v>
      </c>
      <c r="I11" s="45">
        <f>SUMIF(TUSD!$A$57:'TUSD'!$A$103,$A$2,TUSD!$S$57:'TUSD'!$S$103)</f>
        <v>0</v>
      </c>
      <c r="J11" s="45">
        <f>SUMIF(TUSD!$A$57:'TUSD'!$A$103,$A$2,TUSD!$T$57:'TUSD'!$T$103)</f>
        <v>0</v>
      </c>
      <c r="K11" s="45">
        <f>SUMIF(TUSD!$A$57:'TUSD'!$A$103,$A$2,TUSD!$U$57:'TUSD'!$U$103)</f>
        <v>0</v>
      </c>
      <c r="L11" s="45">
        <f>SUMIF(TUSD!$A$57:'TUSD'!$A$103,$A$2,TUSD!$V$57:'TUSD'!$V$103)</f>
        <v>0</v>
      </c>
      <c r="M11" s="45">
        <f>SUMIF(TUSD!$A$57:'TUSD'!$A$103,$A$2,TUSD!$W$57:'TUSD'!$W$103)</f>
        <v>0</v>
      </c>
      <c r="N11" s="45">
        <f>SUMIF(TUSD!$A$57:'TUSD'!$A$103,$A$2,TUSD!$X$57:'TUSD'!$X$103)</f>
        <v>156080.94285089202</v>
      </c>
      <c r="O11" s="45">
        <f>SUMIF(TUSD!$A$57:'TUSD'!$A$103,$A$2,TUSD!$Y$57:'TUSD'!$Y$103)</f>
        <v>0</v>
      </c>
      <c r="P11" s="45">
        <f>SUMIF(TUSD!$A$57:'TUSD'!$A$103,$A$2,TUSD!$Z$57:'TUSD'!$Z$103)</f>
        <v>0</v>
      </c>
      <c r="Q11" s="45">
        <f>SUMIF(TUSD!$A$57:'TUSD'!$A$103,$A$2,TUSD!$AA$57:'TUSD'!$AA$103)</f>
        <v>206116.94600749871</v>
      </c>
      <c r="R11" s="45">
        <f ca="1">SUMIF(TUSD!$A$57:'TUSD'!$A$103,$A$2,TUSD!$AB$57:'TUSD'!$AB$103)</f>
        <v>-8276.6763162271836</v>
      </c>
      <c r="S11" s="45">
        <f ca="1">SUMIF(TUSD!$A$57:'TUSD'!$A$103,$A$2,TUSD!$AC$57:'TUSD'!$AC$103)</f>
        <v>0</v>
      </c>
      <c r="T11" s="45">
        <f>SUMIF(TUSD!$A$57:'TUSD'!$A$103,$A$2,TUSD!$AD$57:'TUSD'!$AD$103)</f>
        <v>5477.15843038194</v>
      </c>
      <c r="U11" s="45">
        <f>SUMIF(TUSD!$A$57:'TUSD'!$A$103,$A$2,TUSD!$AE$57:'TUSD'!$AE$103)</f>
        <v>0</v>
      </c>
      <c r="V11" s="45">
        <f ca="1">SUMIF(TUSD!$A$57:'TUSD'!$A$103,$A$2,TUSD!$AF$57:'TUSD'!$AF$103)</f>
        <v>0</v>
      </c>
      <c r="W11" s="45">
        <f ca="1">SUMIF(TUSD!$A$57:'TUSD'!$A$103,$A$2,TUSD!$AG$57:'TUSD'!$AG$103)</f>
        <v>0</v>
      </c>
      <c r="X11" s="45">
        <f t="shared" ca="1" si="0"/>
        <v>482493.0341760444</v>
      </c>
    </row>
    <row r="13" spans="1:33" x14ac:dyDescent="0.2">
      <c r="A13" s="14" t="s">
        <v>1016</v>
      </c>
      <c r="B13" s="63">
        <f t="shared" ref="B13:X13" si="1">IF($X$6&lt;&gt;0,(B$7-B$6)/$X$6,0)</f>
        <v>0</v>
      </c>
      <c r="C13" s="63">
        <f t="shared" si="1"/>
        <v>1.0371275657985832E-3</v>
      </c>
      <c r="D13" s="63">
        <f t="shared" ca="1" si="1"/>
        <v>0</v>
      </c>
      <c r="E13" s="63">
        <f t="shared" si="1"/>
        <v>0</v>
      </c>
      <c r="F13" s="63">
        <f t="shared" si="1"/>
        <v>0</v>
      </c>
      <c r="G13" s="63">
        <f t="shared" si="1"/>
        <v>6.0941499723708062E-2</v>
      </c>
      <c r="H13" s="63">
        <f t="shared" si="1"/>
        <v>1.0020616944087282E-2</v>
      </c>
      <c r="I13" s="63">
        <f t="shared" si="1"/>
        <v>0</v>
      </c>
      <c r="J13" s="63">
        <f t="shared" si="1"/>
        <v>0</v>
      </c>
      <c r="K13" s="63">
        <f t="shared" si="1"/>
        <v>0</v>
      </c>
      <c r="L13" s="63">
        <f t="shared" si="1"/>
        <v>0</v>
      </c>
      <c r="M13" s="63">
        <f t="shared" si="1"/>
        <v>0</v>
      </c>
      <c r="N13" s="63">
        <f t="shared" si="1"/>
        <v>6.7229019063433412E-2</v>
      </c>
      <c r="O13" s="63">
        <f t="shared" si="1"/>
        <v>0</v>
      </c>
      <c r="P13" s="63">
        <f t="shared" si="1"/>
        <v>0</v>
      </c>
      <c r="Q13" s="63">
        <f t="shared" si="1"/>
        <v>0.10254163517629394</v>
      </c>
      <c r="R13" s="63">
        <f t="shared" ca="1" si="1"/>
        <v>-2.1999435656693607E-2</v>
      </c>
      <c r="S13" s="63">
        <f t="shared" ca="1" si="1"/>
        <v>0</v>
      </c>
      <c r="T13" s="63">
        <f t="shared" si="1"/>
        <v>-1.1661534169916412E-2</v>
      </c>
      <c r="U13" s="63">
        <f t="shared" si="1"/>
        <v>0</v>
      </c>
      <c r="V13" s="63">
        <f t="shared" ca="1" si="1"/>
        <v>0</v>
      </c>
      <c r="W13" s="63">
        <f t="shared" ca="1" si="1"/>
        <v>0</v>
      </c>
      <c r="X13" s="63">
        <f t="shared" ca="1" si="1"/>
        <v>0.20810892864671107</v>
      </c>
    </row>
    <row r="14" spans="1:33" x14ac:dyDescent="0.2">
      <c r="A14" s="14" t="s">
        <v>1017</v>
      </c>
      <c r="B14" s="63">
        <f t="shared" ref="B14:X14" si="2">IF($X$10&lt;&gt;0,(B$9-B$8)/$X$10,0)</f>
        <v>0</v>
      </c>
      <c r="C14" s="63">
        <f t="shared" si="2"/>
        <v>3.8622354201076276E-4</v>
      </c>
      <c r="D14" s="63">
        <f t="shared" ca="1" si="2"/>
        <v>0</v>
      </c>
      <c r="E14" s="63">
        <f t="shared" si="2"/>
        <v>0</v>
      </c>
      <c r="F14" s="63">
        <f t="shared" si="2"/>
        <v>0</v>
      </c>
      <c r="G14" s="63">
        <f t="shared" si="2"/>
        <v>9.0893304391984314E-2</v>
      </c>
      <c r="H14" s="63">
        <f t="shared" si="2"/>
        <v>1.8655549676697601E-2</v>
      </c>
      <c r="I14" s="63">
        <f t="shared" si="2"/>
        <v>0</v>
      </c>
      <c r="J14" s="63">
        <f t="shared" si="2"/>
        <v>0</v>
      </c>
      <c r="K14" s="63">
        <f t="shared" si="2"/>
        <v>0</v>
      </c>
      <c r="L14" s="63">
        <f t="shared" si="2"/>
        <v>0</v>
      </c>
      <c r="M14" s="63">
        <f t="shared" si="2"/>
        <v>0</v>
      </c>
      <c r="N14" s="63">
        <f t="shared" si="2"/>
        <v>0.10529664141137586</v>
      </c>
      <c r="O14" s="63">
        <f t="shared" si="2"/>
        <v>0</v>
      </c>
      <c r="P14" s="63">
        <f t="shared" si="2"/>
        <v>0</v>
      </c>
      <c r="Q14" s="63">
        <f t="shared" si="2"/>
        <v>7.4893740667911796E-2</v>
      </c>
      <c r="R14" s="63">
        <f t="shared" ca="1" si="2"/>
        <v>-2.1690728634369893E-2</v>
      </c>
      <c r="S14" s="63">
        <f t="shared" ca="1" si="2"/>
        <v>0</v>
      </c>
      <c r="T14" s="63">
        <f t="shared" si="2"/>
        <v>-3.9627289588848869E-3</v>
      </c>
      <c r="U14" s="63">
        <f t="shared" si="2"/>
        <v>0</v>
      </c>
      <c r="V14" s="63">
        <f t="shared" ca="1" si="2"/>
        <v>0</v>
      </c>
      <c r="W14" s="63">
        <f t="shared" ca="1" si="2"/>
        <v>0</v>
      </c>
      <c r="X14" s="63">
        <f t="shared" ca="1" si="2"/>
        <v>0.2644720020967255</v>
      </c>
    </row>
    <row r="15" spans="1:33" x14ac:dyDescent="0.2">
      <c r="A15" s="14" t="s">
        <v>1018</v>
      </c>
      <c r="B15" s="63">
        <f t="shared" ref="B15:X15" si="3">IF($X$8&lt;&gt;0,(B$9-B$8)/$X$8,0)</f>
        <v>0</v>
      </c>
      <c r="C15" s="63">
        <f t="shared" si="3"/>
        <v>3.8622354201076276E-4</v>
      </c>
      <c r="D15" s="63">
        <f t="shared" ca="1" si="3"/>
        <v>0</v>
      </c>
      <c r="E15" s="63">
        <f t="shared" si="3"/>
        <v>0</v>
      </c>
      <c r="F15" s="63">
        <f t="shared" si="3"/>
        <v>0</v>
      </c>
      <c r="G15" s="63">
        <f t="shared" si="3"/>
        <v>9.0893304391984314E-2</v>
      </c>
      <c r="H15" s="63">
        <f t="shared" si="3"/>
        <v>1.8655549676697601E-2</v>
      </c>
      <c r="I15" s="63">
        <f t="shared" si="3"/>
        <v>0</v>
      </c>
      <c r="J15" s="63">
        <f t="shared" si="3"/>
        <v>0</v>
      </c>
      <c r="K15" s="63">
        <f t="shared" si="3"/>
        <v>0</v>
      </c>
      <c r="L15" s="63">
        <f t="shared" si="3"/>
        <v>0</v>
      </c>
      <c r="M15" s="63">
        <f t="shared" si="3"/>
        <v>0</v>
      </c>
      <c r="N15" s="63">
        <f t="shared" si="3"/>
        <v>0.10529664141137586</v>
      </c>
      <c r="O15" s="63">
        <f t="shared" si="3"/>
        <v>0</v>
      </c>
      <c r="P15" s="63">
        <f t="shared" si="3"/>
        <v>0</v>
      </c>
      <c r="Q15" s="63">
        <f t="shared" si="3"/>
        <v>7.4893740667911796E-2</v>
      </c>
      <c r="R15" s="63">
        <f t="shared" ca="1" si="3"/>
        <v>-2.1690728634369893E-2</v>
      </c>
      <c r="S15" s="63">
        <f t="shared" ca="1" si="3"/>
        <v>0</v>
      </c>
      <c r="T15" s="63">
        <f t="shared" si="3"/>
        <v>-3.9627289588848869E-3</v>
      </c>
      <c r="U15" s="63">
        <f t="shared" si="3"/>
        <v>0</v>
      </c>
      <c r="V15" s="63">
        <f t="shared" ca="1" si="3"/>
        <v>0</v>
      </c>
      <c r="W15" s="63">
        <f t="shared" ca="1" si="3"/>
        <v>0</v>
      </c>
      <c r="X15" s="63">
        <f t="shared" ca="1" si="3"/>
        <v>0.2644720020967255</v>
      </c>
    </row>
  </sheetData>
  <dataValidations count="6">
    <dataValidation type="list" allowBlank="1" showInputMessage="1" showErrorMessage="1" error="Deve-se selecionar grupo válido" sqref="A2" xr:uid="{55AAD802-4BE9-461A-B487-8B4AAA62AD01}">
      <formula1>AA1:AA6</formula1>
    </dataValidation>
    <dataValidation type="list" allowBlank="1" showInputMessage="1" showErrorMessage="1" error="Deve-se selecionar grupo válido" sqref="B2" xr:uid="{97407854-3C92-4B34-8E14-194AE2C3BF47}">
      <formula1>AB1:AB7</formula1>
    </dataValidation>
    <dataValidation type="list" allowBlank="1" showInputMessage="1" showErrorMessage="1" error="Deve-se selecionar grupo válido" sqref="C2 E2" xr:uid="{3DF6FED8-ED8C-44EB-A150-3C7D7E417E0A}">
      <formula1>AC1:AC4</formula1>
    </dataValidation>
    <dataValidation type="list" allowBlank="1" showInputMessage="1" showErrorMessage="1" error="Deve-se selecionar grupo válido" sqref="D2" xr:uid="{D9DE97D4-F780-40AA-BAA8-F60A2EA7C769}">
      <formula1>AD1:AD10</formula1>
    </dataValidation>
    <dataValidation type="list" allowBlank="1" showInputMessage="1" showErrorMessage="1" error="Deve-se selecionar grupo válido" sqref="F2" xr:uid="{55862312-F668-436B-8ECD-E004BDC874F4}">
      <formula1>AF1:AF1</formula1>
    </dataValidation>
    <dataValidation type="list" allowBlank="1" showInputMessage="1" showErrorMessage="1" error="Deve-se selecionar grupo válido" sqref="G2" xr:uid="{FCE3A39F-B137-4D14-8798-D2DF39AE30CB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22F6-4A7E-4976-AEB4-1EF3F801EAF1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0.5703125" style="14" bestFit="1" customWidth="1"/>
    <col min="3" max="6" width="10.28515625" style="14" bestFit="1" customWidth="1"/>
    <col min="7" max="7" width="14.85546875" style="14" bestFit="1" customWidth="1"/>
    <col min="8" max="8" width="6" style="14" bestFit="1" customWidth="1"/>
    <col min="9" max="9" width="9.5703125" style="14" bestFit="1" customWidth="1"/>
    <col min="10" max="10" width="6.42578125" style="14" bestFit="1" customWidth="1"/>
    <col min="11" max="11" width="8.42578125" style="14" bestFit="1" customWidth="1"/>
    <col min="12" max="12" width="10.7109375" style="14" bestFit="1" customWidth="1"/>
    <col min="13" max="13" width="10" style="14" bestFit="1" customWidth="1"/>
    <col min="14" max="26" width="9.140625" style="14"/>
    <col min="27" max="27" width="3" style="14" bestFit="1" customWidth="1"/>
    <col min="28" max="28" width="27.1406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15</v>
      </c>
      <c r="G1" s="14" t="s">
        <v>62</v>
      </c>
      <c r="I1" s="14" t="s">
        <v>1015</v>
      </c>
      <c r="AA1" s="14" t="s">
        <v>39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39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22</v>
      </c>
      <c r="AB2" s="14" t="s">
        <v>65</v>
      </c>
      <c r="AC2" s="14" t="s">
        <v>24</v>
      </c>
      <c r="AD2" s="14" t="s">
        <v>24</v>
      </c>
      <c r="AG2" s="14" t="s">
        <v>67</v>
      </c>
    </row>
    <row r="3" spans="1:33" x14ac:dyDescent="0.2">
      <c r="AA3" s="14" t="s">
        <v>41</v>
      </c>
      <c r="AB3" s="14" t="s">
        <v>69</v>
      </c>
      <c r="AC3" s="14" t="s">
        <v>42</v>
      </c>
      <c r="AD3" s="14" t="s">
        <v>29</v>
      </c>
      <c r="AG3" s="14" t="s">
        <v>68</v>
      </c>
    </row>
    <row r="4" spans="1:33" x14ac:dyDescent="0.2">
      <c r="AA4" s="14" t="s">
        <v>37</v>
      </c>
      <c r="AB4" s="14" t="s">
        <v>81</v>
      </c>
      <c r="AC4" s="14" t="s">
        <v>45</v>
      </c>
      <c r="AD4" s="14" t="s">
        <v>30</v>
      </c>
      <c r="AG4" s="14" t="s">
        <v>70</v>
      </c>
    </row>
    <row r="5" spans="1:33" x14ac:dyDescent="0.2">
      <c r="A5" s="14" t="s">
        <v>1008</v>
      </c>
      <c r="B5" s="14" t="str">
        <f>TE!$X$4</f>
        <v>P&amp;D</v>
      </c>
      <c r="C5" s="14" t="str">
        <f>TE!$Y$4</f>
        <v>ESS/ERR</v>
      </c>
      <c r="D5" s="14" t="str">
        <f>TE!$Z$4</f>
        <v>CFURH</v>
      </c>
      <c r="E5" s="14" t="str">
        <f>TE!$AA$4</f>
        <v>CDE Covid TE</v>
      </c>
      <c r="F5" s="14" t="str">
        <f>TE!$AB$4</f>
        <v>CDE ELET</v>
      </c>
      <c r="G5" s="14" t="str">
        <f>TE!$AC$4</f>
        <v>ENERGIA REVENDA</v>
      </c>
      <c r="H5" s="14" t="str">
        <f>TE!$AD$4</f>
        <v>ITAIPU</v>
      </c>
      <c r="I5" s="14" t="str">
        <f>TE!$AE$4</f>
        <v>TUST ITAIPU</v>
      </c>
      <c r="J5" s="14" t="str">
        <f>TE!$AF$4</f>
        <v>TUST CI</v>
      </c>
      <c r="K5" s="14" t="str">
        <f>TE!$AG$4</f>
        <v>SUBSIDIO</v>
      </c>
      <c r="L5" s="14" t="str">
        <f>TE!$AH$4</f>
        <v>PERDAS RB/C</v>
      </c>
      <c r="M5" s="14" t="s">
        <v>437</v>
      </c>
      <c r="AA5" s="14" t="s">
        <v>44</v>
      </c>
      <c r="AD5" s="14" t="s">
        <v>31</v>
      </c>
      <c r="AG5" s="14" t="s">
        <v>80</v>
      </c>
    </row>
    <row r="6" spans="1:33" x14ac:dyDescent="0.2">
      <c r="A6" s="14" t="s">
        <v>1009</v>
      </c>
      <c r="B6" s="45">
        <f>SUM(TE!$X$48:'TE'!$X$85)</f>
        <v>0</v>
      </c>
      <c r="C6" s="45">
        <f>SUM(TE!$Y$48:'TE'!$Y$85)</f>
        <v>0</v>
      </c>
      <c r="D6" s="45">
        <f>SUM(TE!$Z$48:'TE'!$Z$85)</f>
        <v>0</v>
      </c>
      <c r="E6" s="45">
        <f>SUM(TE!$AA$48:'TE'!$AA$85)</f>
        <v>0</v>
      </c>
      <c r="F6" s="45">
        <f>SUM(TE!$AB$48:'TE'!$AB$85)</f>
        <v>0</v>
      </c>
      <c r="G6" s="45">
        <f>SUM(TE!$AC$48:'TE'!$AC$85)</f>
        <v>2095910.5861789517</v>
      </c>
      <c r="H6" s="45">
        <f>SUM(TE!$AD$48:'TE'!$AD$85)</f>
        <v>0</v>
      </c>
      <c r="I6" s="45">
        <f>SUM(TE!$AE$48:'TE'!$AE$85)</f>
        <v>0</v>
      </c>
      <c r="J6" s="45">
        <f>SUM(TE!$AF$48:'TE'!$AF$85)</f>
        <v>0</v>
      </c>
      <c r="K6" s="45">
        <f>SUM(TE!$AG$48:'TE'!$AG$85)</f>
        <v>0</v>
      </c>
      <c r="L6" s="45">
        <f>SUM(TE!$AH$48:'TE'!$AH$85)</f>
        <v>0</v>
      </c>
      <c r="M6" s="45">
        <f t="shared" ref="M6:M11" si="0">SUM(B6:L6)</f>
        <v>2095910.5861789517</v>
      </c>
      <c r="AD6" s="14" t="s">
        <v>32</v>
      </c>
    </row>
    <row r="7" spans="1:33" x14ac:dyDescent="0.2">
      <c r="A7" s="14" t="s">
        <v>1010</v>
      </c>
      <c r="B7" s="45">
        <f>SUM(TE!$L$48:'TE'!$L$85)</f>
        <v>0</v>
      </c>
      <c r="C7" s="45">
        <f>SUM(TE!$M$48:'TE'!$M$85)</f>
        <v>0</v>
      </c>
      <c r="D7" s="45">
        <f>SUM(TE!$N$48:'TE'!$N$85)</f>
        <v>0</v>
      </c>
      <c r="E7" s="45">
        <f>SUM(TE!$O$48:'TE'!$O$85)</f>
        <v>0</v>
      </c>
      <c r="F7" s="45">
        <f>SUM(TE!$P$48:'TE'!$P$85)</f>
        <v>0</v>
      </c>
      <c r="G7" s="45">
        <f>SUM(TE!$Q$48:'TE'!$Q$85)</f>
        <v>1882249.6641403523</v>
      </c>
      <c r="H7" s="45">
        <f>SUM(TE!$R$48:'TE'!$R$85)</f>
        <v>0</v>
      </c>
      <c r="I7" s="45">
        <f>SUM(TE!$S$48:'TE'!$S$85)</f>
        <v>0</v>
      </c>
      <c r="J7" s="45">
        <f>SUM(TE!$T$48:'TE'!$T$85)</f>
        <v>0</v>
      </c>
      <c r="K7" s="45">
        <f>SUM(TE!$U$48:'TE'!$U$85)</f>
        <v>-27053.338768716349</v>
      </c>
      <c r="L7" s="45">
        <f>SUM(TE!$V$48:'TE'!$V$85)</f>
        <v>0</v>
      </c>
      <c r="M7" s="45">
        <f t="shared" si="0"/>
        <v>1855196.3253716358</v>
      </c>
      <c r="AD7" s="14" t="s">
        <v>83</v>
      </c>
    </row>
    <row r="8" spans="1:33" x14ac:dyDescent="0.2">
      <c r="A8" s="14" t="s">
        <v>1013</v>
      </c>
      <c r="B8" s="45">
        <f>IF($G$2&lt;&gt;"Não se aplica",SUMIF(TE!$G$48:'TE'!$G$85,$I$2,TE!$X$48:'TE'!$X$85),IF($F$2&lt;&gt;"Não se aplica",SUMIF(TE!$F$48:'TE'!$F$85,$I$2,TE!$X$48:'TE'!$X$85),IF($E$2&lt;&gt;"Não se aplica",SUMIF(TE!$E$48:'TE'!$E$85,$I$2,TE!$X$48:'TE'!$X$85),IF($D$2&lt;&gt;"Não se aplica",SUMIF(TE!$D$48:'TE'!$D$85,$I$2,TE!$X$48:'TE'!$X$85),IF($C$2&lt;&gt;"Não se aplica",SUMIF(TE!$C$48:'TE'!$C$85,$I$2,TE!$X$48:'TE'!$X$85),IF($B$2&lt;&gt;"Não se aplica",SUMIF(TE!$B$48:'TE'!$B$85,$I$2,TE!$X$48:'TE'!$X$85),SUMIF(TE!$A$48:'TE'!$A$85,$I$2,TE!$X$48:'TE'!$X$85)))))))</f>
        <v>0</v>
      </c>
      <c r="C8" s="45">
        <f>IF($G$2&lt;&gt;"Não se aplica",SUMIF(TE!$G$48:'TE'!$G$85,$I$2,TE!$Y$48:'TE'!$Y$85),IF($F$2&lt;&gt;"Não se aplica",SUMIF(TE!$F$48:'TE'!$F$85,$I$2,TE!$Y$48:'TE'!$Y$85),IF($E$2&lt;&gt;"Não se aplica",SUMIF(TE!$E$48:'TE'!$E$85,$I$2,TE!$Y$48:'TE'!$Y$85),IF($D$2&lt;&gt;"Não se aplica",SUMIF(TE!$D$48:'TE'!$D$85,$I$2,TE!$Y$48:'TE'!$Y$85),IF($C$2&lt;&gt;"Não se aplica",SUMIF(TE!$C$48:'TE'!$C$85,$I$2,TE!$Y$48:'TE'!$Y$85),IF($B$2&lt;&gt;"Não se aplica",SUMIF(TE!$B$48:'TE'!$B$85,$I$2,TE!$Y$48:'TE'!$Y$85),SUMIF(TE!$A$48:'TE'!$A$85,$I$2,TE!$Y$48:'TE'!$Y$85)))))))</f>
        <v>0</v>
      </c>
      <c r="D8" s="45">
        <f>IF($G$2&lt;&gt;"Não se aplica",SUMIF(TE!$G$48:'TE'!$G$85,$I$2,TE!$Z$48:'TE'!$Z$85),IF($F$2&lt;&gt;"Não se aplica",SUMIF(TE!$F$48:'TE'!$F$85,$I$2,TE!$Z$48:'TE'!$Z$85),IF($E$2&lt;&gt;"Não se aplica",SUMIF(TE!$E$48:'TE'!$E$85,$I$2,TE!$Z$48:'TE'!$Z$85),IF($D$2&lt;&gt;"Não se aplica",SUMIF(TE!$D$48:'TE'!$D$85,$I$2,TE!$Z$48:'TE'!$Z$85),IF($C$2&lt;&gt;"Não se aplica",SUMIF(TE!$C$48:'TE'!$C$85,$I$2,TE!$Z$48:'TE'!$Z$85),IF($B$2&lt;&gt;"Não se aplica",SUMIF(TE!$B$48:'TE'!$B$85,$I$2,TE!$Z$48:'TE'!$Z$85),SUMIF(TE!$A$48:'TE'!$A$85,$I$2,TE!$Z$48:'TE'!$Z$85)))))))</f>
        <v>0</v>
      </c>
      <c r="E8" s="45">
        <f>IF($G$2&lt;&gt;"Não se aplica",SUMIF(TE!$G$48:'TE'!$G$85,$I$2,TE!$AA$48:'TE'!$AA$85),IF($F$2&lt;&gt;"Não se aplica",SUMIF(TE!$F$48:'TE'!$F$85,$I$2,TE!$AA$48:'TE'!$AA$85),IF($E$2&lt;&gt;"Não se aplica",SUMIF(TE!$E$48:'TE'!$E$85,$I$2,TE!$AA$48:'TE'!$AA$85),IF($D$2&lt;&gt;"Não se aplica",SUMIF(TE!$D$48:'TE'!$D$85,$I$2,TE!$AA$48:'TE'!$AA$85),IF($C$2&lt;&gt;"Não se aplica",SUMIF(TE!$C$48:'TE'!$C$85,$I$2,TE!$AA$48:'TE'!$AA$85),IF($B$2&lt;&gt;"Não se aplica",SUMIF(TE!$B$48:'TE'!$B$85,$I$2,TE!$AA$48:'TE'!$AA$85),SUMIF(TE!$A$48:'TE'!$A$85,$I$2,TE!$AA$48:'TE'!$AA$85)))))))</f>
        <v>0</v>
      </c>
      <c r="F8" s="45">
        <f>IF($G$2&lt;&gt;"Não se aplica",SUMIF(TE!$G$48:'TE'!$G$85,$I$2,TE!$AB$48:'TE'!$AB$85),IF($F$2&lt;&gt;"Não se aplica",SUMIF(TE!$F$48:'TE'!$F$85,$I$2,TE!$AB$48:'TE'!$AB$85),IF($E$2&lt;&gt;"Não se aplica",SUMIF(TE!$E$48:'TE'!$E$85,$I$2,TE!$AB$48:'TE'!$AB$85),IF($D$2&lt;&gt;"Não se aplica",SUMIF(TE!$D$48:'TE'!$D$85,$I$2,TE!$AB$48:'TE'!$AB$85),IF($C$2&lt;&gt;"Não se aplica",SUMIF(TE!$C$48:'TE'!$C$85,$I$2,TE!$AB$48:'TE'!$AB$85),IF($B$2&lt;&gt;"Não se aplica",SUMIF(TE!$B$48:'TE'!$B$85,$I$2,TE!$AB$48:'TE'!$AB$85),SUMIF(TE!$A$48:'TE'!$A$85,$I$2,TE!$AB$48:'TE'!$AB$85)))))))</f>
        <v>0</v>
      </c>
      <c r="G8" s="45">
        <f>IF($G$2&lt;&gt;"Não se aplica",SUMIF(TE!$G$48:'TE'!$G$85,$I$2,TE!$AC$48:'TE'!$AC$85),IF($F$2&lt;&gt;"Não se aplica",SUMIF(TE!$F$48:'TE'!$F$85,$I$2,TE!$AC$48:'TE'!$AC$85),IF($E$2&lt;&gt;"Não se aplica",SUMIF(TE!$E$48:'TE'!$E$85,$I$2,TE!$AC$48:'TE'!$AC$85),IF($D$2&lt;&gt;"Não se aplica",SUMIF(TE!$D$48:'TE'!$D$85,$I$2,TE!$AC$48:'TE'!$AC$85),IF($C$2&lt;&gt;"Não se aplica",SUMIF(TE!$C$48:'TE'!$C$85,$I$2,TE!$AC$48:'TE'!$AC$85),IF($B$2&lt;&gt;"Não se aplica",SUMIF(TE!$B$48:'TE'!$B$85,$I$2,TE!$AC$48:'TE'!$AC$85),SUMIF(TE!$A$48:'TE'!$A$85,$I$2,TE!$AC$48:'TE'!$AC$85)))))))</f>
        <v>172116.41638400254</v>
      </c>
      <c r="H8" s="45">
        <f>IF($G$2&lt;&gt;"Não se aplica",SUMIF(TE!$G$48:'TE'!$G$85,$I$2,TE!$AD$48:'TE'!$AD$85),IF($F$2&lt;&gt;"Não se aplica",SUMIF(TE!$F$48:'TE'!$F$85,$I$2,TE!$AD$48:'TE'!$AD$85),IF($E$2&lt;&gt;"Não se aplica",SUMIF(TE!$E$48:'TE'!$E$85,$I$2,TE!$AD$48:'TE'!$AD$85),IF($D$2&lt;&gt;"Não se aplica",SUMIF(TE!$D$48:'TE'!$D$85,$I$2,TE!$AD$48:'TE'!$AD$85),IF($C$2&lt;&gt;"Não se aplica",SUMIF(TE!$C$48:'TE'!$C$85,$I$2,TE!$AD$48:'TE'!$AD$85),IF($B$2&lt;&gt;"Não se aplica",SUMIF(TE!$B$48:'TE'!$B$85,$I$2,TE!$AD$48:'TE'!$AD$85),SUMIF(TE!$A$48:'TE'!$A$85,$I$2,TE!$AD$48:'TE'!$AD$85)))))))</f>
        <v>0</v>
      </c>
      <c r="I8" s="45">
        <f>IF($G$2&lt;&gt;"Não se aplica",SUMIF(TE!$G$48:'TE'!$G$85,$I$2,TE!$AE$48:'TE'!$AE$85),IF($F$2&lt;&gt;"Não se aplica",SUMIF(TE!$F$48:'TE'!$F$85,$I$2,TE!$AE$48:'TE'!$AE$85),IF($E$2&lt;&gt;"Não se aplica",SUMIF(TE!$E$48:'TE'!$E$85,$I$2,TE!$AE$48:'TE'!$AE$85),IF($D$2&lt;&gt;"Não se aplica",SUMIF(TE!$D$48:'TE'!$D$85,$I$2,TE!$AE$48:'TE'!$AE$85),IF($C$2&lt;&gt;"Não se aplica",SUMIF(TE!$C$48:'TE'!$C$85,$I$2,TE!$AE$48:'TE'!$AE$85),IF($B$2&lt;&gt;"Não se aplica",SUMIF(TE!$B$48:'TE'!$B$85,$I$2,TE!$AE$48:'TE'!$AE$85),SUMIF(TE!$A$48:'TE'!$A$85,$I$2,TE!$AE$48:'TE'!$AE$85)))))))</f>
        <v>0</v>
      </c>
      <c r="J8" s="45">
        <f>IF($G$2&lt;&gt;"Não se aplica",SUMIF(TE!$G$48:'TE'!$G$85,$I$2,TE!$AF$48:'TE'!$AF$85),IF($F$2&lt;&gt;"Não se aplica",SUMIF(TE!$F$48:'TE'!$F$85,$I$2,TE!$AF$48:'TE'!$AF$85),IF($E$2&lt;&gt;"Não se aplica",SUMIF(TE!$E$48:'TE'!$E$85,$I$2,TE!$AF$48:'TE'!$AF$85),IF($D$2&lt;&gt;"Não se aplica",SUMIF(TE!$D$48:'TE'!$D$85,$I$2,TE!$AF$48:'TE'!$AF$85),IF($C$2&lt;&gt;"Não se aplica",SUMIF(TE!$C$48:'TE'!$C$85,$I$2,TE!$AF$48:'TE'!$AF$85),IF($B$2&lt;&gt;"Não se aplica",SUMIF(TE!$B$48:'TE'!$B$85,$I$2,TE!$AF$48:'TE'!$AF$85),SUMIF(TE!$A$48:'TE'!$A$85,$I$2,TE!$AF$48:'TE'!$AF$85)))))))</f>
        <v>0</v>
      </c>
      <c r="K8" s="45">
        <f>IF($G$2&lt;&gt;"Não se aplica",SUMIF(TE!$G$48:'TE'!$G$85,$I$2,TE!$AG$48:'TE'!$AG$85),IF($F$2&lt;&gt;"Não se aplica",SUMIF(TE!$F$48:'TE'!$F$85,$I$2,TE!$AG$48:'TE'!$AG$85),IF($E$2&lt;&gt;"Não se aplica",SUMIF(TE!$E$48:'TE'!$E$85,$I$2,TE!$AG$48:'TE'!$AG$85),IF($D$2&lt;&gt;"Não se aplica",SUMIF(TE!$D$48:'TE'!$D$85,$I$2,TE!$AG$48:'TE'!$AG$85),IF($C$2&lt;&gt;"Não se aplica",SUMIF(TE!$C$48:'TE'!$C$85,$I$2,TE!$AG$48:'TE'!$AG$85),IF($B$2&lt;&gt;"Não se aplica",SUMIF(TE!$B$48:'TE'!$B$85,$I$2,TE!$AG$48:'TE'!$AG$85),SUMIF(TE!$A$48:'TE'!$A$85,$I$2,TE!$AG$48:'TE'!$AG$85)))))))</f>
        <v>0</v>
      </c>
      <c r="L8" s="45">
        <f>IF($G$2&lt;&gt;"Não se aplica",SUMIF(TE!$G$48:'TE'!$G$85,$I$2,TE!$AH$48:'TE'!$AH$85),IF($F$2&lt;&gt;"Não se aplica",SUMIF(TE!$F$48:'TE'!$F$85,$I$2,TE!$AH$48:'TE'!$AH$85),IF($E$2&lt;&gt;"Não se aplica",SUMIF(TE!$E$48:'TE'!$E$85,$I$2,TE!$AH$48:'TE'!$AH$85),IF($D$2&lt;&gt;"Não se aplica",SUMIF(TE!$D$48:'TE'!$D$85,$I$2,TE!$AH$48:'TE'!$AH$85),IF($C$2&lt;&gt;"Não se aplica",SUMIF(TE!$C$48:'TE'!$C$85,$I$2,TE!$AH$48:'TE'!$AH$85),IF($B$2&lt;&gt;"Não se aplica",SUMIF(TE!$B$48:'TE'!$B$85,$I$2,TE!$AH$48:'TE'!$AH$85),SUMIF(TE!$A$48:'TE'!$A$85,$I$2,TE!$AH$48:'TE'!$AH$85)))))))</f>
        <v>0</v>
      </c>
      <c r="M8" s="45">
        <f t="shared" si="0"/>
        <v>172116.41638400254</v>
      </c>
      <c r="AD8" s="14" t="s">
        <v>84</v>
      </c>
    </row>
    <row r="9" spans="1:33" x14ac:dyDescent="0.2">
      <c r="A9" s="14" t="s">
        <v>1014</v>
      </c>
      <c r="B9" s="45">
        <f>IF($G$2&lt;&gt;"Não se aplica",SUMIF(TE!$G$48:'TE'!$G$85,$I$2,TE!$L$48:'TE'!$L$85),IF($F$2&lt;&gt;"Não se aplica",SUMIF(TE!$F$48:'TE'!$F$85,$I$2,TE!$L$48:'TE'!$L$85),IF($E$2&lt;&gt;"Não se aplica",SUMIF(TE!$E$48:'TE'!$E$85,$I$2,TE!$L$48:'TE'!$L$85),IF($D$2&lt;&gt;"Não se aplica",SUMIF(TE!$D$48:'TE'!$D$85,$I$2,TE!$L$48:'TE'!$L$85),IF($C$2&lt;&gt;"Não se aplica",SUMIF(TE!$C$48:'TE'!$C$85,$I$2,TE!$L$48:'TE'!$L$85),IF($B$2&lt;&gt;"Não se aplica",SUMIF(TE!$B$48:'TE'!$B$85,$I$2,TE!$L$48:'TE'!$L$85),SUMIF(TE!$A$48:'TE'!$A$85,$I$2,TE!$L$48:'TE'!$L$85)))))))</f>
        <v>0</v>
      </c>
      <c r="C9" s="45">
        <f>IF($G$2&lt;&gt;"Não se aplica",SUMIF(TE!$G$48:'TE'!$G$85,$I$2,TE!$M$48:'TE'!$M$85),IF($F$2&lt;&gt;"Não se aplica",SUMIF(TE!$F$48:'TE'!$F$85,$I$2,TE!$M$48:'TE'!$M$85),IF($E$2&lt;&gt;"Não se aplica",SUMIF(TE!$E$48:'TE'!$E$85,$I$2,TE!$M$48:'TE'!$M$85),IF($D$2&lt;&gt;"Não se aplica",SUMIF(TE!$D$48:'TE'!$D$85,$I$2,TE!$M$48:'TE'!$M$85),IF($C$2&lt;&gt;"Não se aplica",SUMIF(TE!$C$48:'TE'!$C$85,$I$2,TE!$M$48:'TE'!$M$85),IF($B$2&lt;&gt;"Não se aplica",SUMIF(TE!$B$48:'TE'!$B$85,$I$2,TE!$M$48:'TE'!$M$85),SUMIF(TE!$A$48:'TE'!$A$85,$I$2,TE!$M$48:'TE'!$M$85)))))))</f>
        <v>0</v>
      </c>
      <c r="D9" s="45">
        <f>IF($G$2&lt;&gt;"Não se aplica",SUMIF(TE!$G$48:'TE'!$G$85,$I$2,TE!$N$48:'TE'!$N$85),IF($F$2&lt;&gt;"Não se aplica",SUMIF(TE!$F$48:'TE'!$F$85,$I$2,TE!$N$48:'TE'!$N$85),IF($E$2&lt;&gt;"Não se aplica",SUMIF(TE!$E$48:'TE'!$E$85,$I$2,TE!$N$48:'TE'!$N$85),IF($D$2&lt;&gt;"Não se aplica",SUMIF(TE!$D$48:'TE'!$D$85,$I$2,TE!$N$48:'TE'!$N$85),IF($C$2&lt;&gt;"Não se aplica",SUMIF(TE!$C$48:'TE'!$C$85,$I$2,TE!$N$48:'TE'!$N$85),IF($B$2&lt;&gt;"Não se aplica",SUMIF(TE!$B$48:'TE'!$B$85,$I$2,TE!$N$48:'TE'!$N$85),SUMIF(TE!$A$48:'TE'!$A$85,$I$2,TE!$N$48:'TE'!$N$85)))))))</f>
        <v>0</v>
      </c>
      <c r="E9" s="45">
        <f>IF($G$2&lt;&gt;"Não se aplica",SUMIF(TE!$G$48:'TE'!$G$85,$I$2,TE!$O$48:'TE'!$O$85),IF($F$2&lt;&gt;"Não se aplica",SUMIF(TE!$F$48:'TE'!$F$85,$I$2,TE!$O$48:'TE'!$O$85),IF($E$2&lt;&gt;"Não se aplica",SUMIF(TE!$E$48:'TE'!$E$85,$I$2,TE!$O$48:'TE'!$O$85),IF($D$2&lt;&gt;"Não se aplica",SUMIF(TE!$D$48:'TE'!$D$85,$I$2,TE!$O$48:'TE'!$O$85),IF($C$2&lt;&gt;"Não se aplica",SUMIF(TE!$C$48:'TE'!$C$85,$I$2,TE!$O$48:'TE'!$O$85),IF($B$2&lt;&gt;"Não se aplica",SUMIF(TE!$B$48:'TE'!$B$85,$I$2,TE!$O$48:'TE'!$O$85),SUMIF(TE!$A$48:'TE'!$A$85,$I$2,TE!$O$48:'TE'!$O$85)))))))</f>
        <v>0</v>
      </c>
      <c r="F9" s="45">
        <f>IF($G$2&lt;&gt;"Não se aplica",SUMIF(TE!$G$48:'TE'!$G$85,$I$2,TE!$P$48:'TE'!$P$85),IF($F$2&lt;&gt;"Não se aplica",SUMIF(TE!$F$48:'TE'!$F$85,$I$2,TE!$P$48:'TE'!$P$85),IF($E$2&lt;&gt;"Não se aplica",SUMIF(TE!$E$48:'TE'!$E$85,$I$2,TE!$P$48:'TE'!$P$85),IF($D$2&lt;&gt;"Não se aplica",SUMIF(TE!$D$48:'TE'!$D$85,$I$2,TE!$P$48:'TE'!$P$85),IF($C$2&lt;&gt;"Não se aplica",SUMIF(TE!$C$48:'TE'!$C$85,$I$2,TE!$P$48:'TE'!$P$85),IF($B$2&lt;&gt;"Não se aplica",SUMIF(TE!$B$48:'TE'!$B$85,$I$2,TE!$P$48:'TE'!$P$85),SUMIF(TE!$A$48:'TE'!$A$85,$I$2,TE!$P$48:'TE'!$P$85)))))))</f>
        <v>0</v>
      </c>
      <c r="G9" s="45">
        <f>IF($G$2&lt;&gt;"Não se aplica",SUMIF(TE!$G$48:'TE'!$G$85,$I$2,TE!$Q$48:'TE'!$Q$85),IF($F$2&lt;&gt;"Não se aplica",SUMIF(TE!$F$48:'TE'!$F$85,$I$2,TE!$Q$48:'TE'!$Q$85),IF($E$2&lt;&gt;"Não se aplica",SUMIF(TE!$E$48:'TE'!$E$85,$I$2,TE!$Q$48:'TE'!$Q$85),IF($D$2&lt;&gt;"Não se aplica",SUMIF(TE!$D$48:'TE'!$D$85,$I$2,TE!$Q$48:'TE'!$Q$85),IF($C$2&lt;&gt;"Não se aplica",SUMIF(TE!$C$48:'TE'!$C$85,$I$2,TE!$Q$48:'TE'!$Q$85),IF($B$2&lt;&gt;"Não se aplica",SUMIF(TE!$B$48:'TE'!$B$85,$I$2,TE!$Q$48:'TE'!$Q$85),SUMIF(TE!$A$48:'TE'!$A$85,$I$2,TE!$Q$48:'TE'!$Q$85)))))))</f>
        <v>154177.84568317898</v>
      </c>
      <c r="H9" s="45">
        <f>IF($G$2&lt;&gt;"Não se aplica",SUMIF(TE!$G$48:'TE'!$G$85,$I$2,TE!$R$48:'TE'!$R$85),IF($F$2&lt;&gt;"Não se aplica",SUMIF(TE!$F$48:'TE'!$F$85,$I$2,TE!$R$48:'TE'!$R$85),IF($E$2&lt;&gt;"Não se aplica",SUMIF(TE!$E$48:'TE'!$E$85,$I$2,TE!$R$48:'TE'!$R$85),IF($D$2&lt;&gt;"Não se aplica",SUMIF(TE!$D$48:'TE'!$D$85,$I$2,TE!$R$48:'TE'!$R$85),IF($C$2&lt;&gt;"Não se aplica",SUMIF(TE!$C$48:'TE'!$C$85,$I$2,TE!$R$48:'TE'!$R$85),IF($B$2&lt;&gt;"Não se aplica",SUMIF(TE!$B$48:'TE'!$B$85,$I$2,TE!$R$48:'TE'!$R$85),SUMIF(TE!$A$48:'TE'!$A$85,$I$2,TE!$R$48:'TE'!$R$85)))))))</f>
        <v>0</v>
      </c>
      <c r="I9" s="45">
        <f>IF($G$2&lt;&gt;"Não se aplica",SUMIF(TE!$G$48:'TE'!$G$85,$I$2,TE!$S$48:'TE'!$S$85),IF($F$2&lt;&gt;"Não se aplica",SUMIF(TE!$F$48:'TE'!$F$85,$I$2,TE!$S$48:'TE'!$S$85),IF($E$2&lt;&gt;"Não se aplica",SUMIF(TE!$E$48:'TE'!$E$85,$I$2,TE!$S$48:'TE'!$S$85),IF($D$2&lt;&gt;"Não se aplica",SUMIF(TE!$D$48:'TE'!$D$85,$I$2,TE!$S$48:'TE'!$S$85),IF($C$2&lt;&gt;"Não se aplica",SUMIF(TE!$C$48:'TE'!$C$85,$I$2,TE!$S$48:'TE'!$S$85),IF($B$2&lt;&gt;"Não se aplica",SUMIF(TE!$B$48:'TE'!$B$85,$I$2,TE!$S$48:'TE'!$S$85),SUMIF(TE!$A$48:'TE'!$A$85,$I$2,TE!$S$48:'TE'!$S$85)))))))</f>
        <v>0</v>
      </c>
      <c r="J9" s="45">
        <f>IF($G$2&lt;&gt;"Não se aplica",SUMIF(TE!$G$48:'TE'!$G$85,$I$2,TE!$T$48:'TE'!$T$85),IF($F$2&lt;&gt;"Não se aplica",SUMIF(TE!$F$48:'TE'!$F$85,$I$2,TE!$T$48:'TE'!$T$85),IF($E$2&lt;&gt;"Não se aplica",SUMIF(TE!$E$48:'TE'!$E$85,$I$2,TE!$T$48:'TE'!$T$85),IF($D$2&lt;&gt;"Não se aplica",SUMIF(TE!$D$48:'TE'!$D$85,$I$2,TE!$T$48:'TE'!$T$85),IF($C$2&lt;&gt;"Não se aplica",SUMIF(TE!$C$48:'TE'!$C$85,$I$2,TE!$T$48:'TE'!$T$85),IF($B$2&lt;&gt;"Não se aplica",SUMIF(TE!$B$48:'TE'!$B$85,$I$2,TE!$T$48:'TE'!$T$85),SUMIF(TE!$A$48:'TE'!$A$85,$I$2,TE!$T$48:'TE'!$T$85)))))))</f>
        <v>0</v>
      </c>
      <c r="K9" s="45">
        <f>IF($G$2&lt;&gt;"Não se aplica",SUMIF(TE!$G$48:'TE'!$G$85,$I$2,TE!$U$48:'TE'!$U$85),IF($F$2&lt;&gt;"Não se aplica",SUMIF(TE!$F$48:'TE'!$F$85,$I$2,TE!$U$48:'TE'!$U$85),IF($E$2&lt;&gt;"Não se aplica",SUMIF(TE!$E$48:'TE'!$E$85,$I$2,TE!$U$48:'TE'!$U$85),IF($D$2&lt;&gt;"Não se aplica",SUMIF(TE!$D$48:'TE'!$D$85,$I$2,TE!$U$48:'TE'!$U$85),IF($C$2&lt;&gt;"Não se aplica",SUMIF(TE!$C$48:'TE'!$C$85,$I$2,TE!$U$48:'TE'!$U$85),IF($B$2&lt;&gt;"Não se aplica",SUMIF(TE!$B$48:'TE'!$B$85,$I$2,TE!$U$48:'TE'!$U$85),SUMIF(TE!$A$48:'TE'!$A$85,$I$2,TE!$U$48:'TE'!$U$85)))))))</f>
        <v>-2215.9788732398974</v>
      </c>
      <c r="L9" s="45">
        <f>IF($G$2&lt;&gt;"Não se aplica",SUMIF(TE!$G$48:'TE'!$G$85,$I$2,TE!$V$48:'TE'!$V$85),IF($F$2&lt;&gt;"Não se aplica",SUMIF(TE!$F$48:'TE'!$F$85,$I$2,TE!$V$48:'TE'!$V$85),IF($E$2&lt;&gt;"Não se aplica",SUMIF(TE!$E$48:'TE'!$E$85,$I$2,TE!$V$48:'TE'!$V$85),IF($D$2&lt;&gt;"Não se aplica",SUMIF(TE!$D$48:'TE'!$D$85,$I$2,TE!$V$48:'TE'!$V$85),IF($C$2&lt;&gt;"Não se aplica",SUMIF(TE!$C$48:'TE'!$C$85,$I$2,TE!$V$48:'TE'!$V$85),IF($B$2&lt;&gt;"Não se aplica",SUMIF(TE!$B$48:'TE'!$B$85,$I$2,TE!$V$48:'TE'!$V$85),SUMIF(TE!$A$48:'TE'!$A$85,$I$2,TE!$V$48:'TE'!$V$85)))))))</f>
        <v>0</v>
      </c>
      <c r="M9" s="45">
        <f t="shared" si="0"/>
        <v>151961.86680993909</v>
      </c>
      <c r="AD9" s="14" t="s">
        <v>46</v>
      </c>
    </row>
    <row r="10" spans="1:33" x14ac:dyDescent="0.2">
      <c r="A10" s="14" t="s">
        <v>1011</v>
      </c>
      <c r="B10" s="45">
        <f>SUMIF(TE!$A$48:'TE'!$A$85,$A$2,TE!$X$48:'TE'!$X$85)</f>
        <v>0</v>
      </c>
      <c r="C10" s="45">
        <f>SUMIF(TE!$A$48:'TE'!$A$85,$A$2,TE!$Y$48:'TE'!$Y$85)</f>
        <v>0</v>
      </c>
      <c r="D10" s="45">
        <f>SUMIF(TE!$A$48:'TE'!$A$85,$A$2,TE!$Z$48:'TE'!$Z$85)</f>
        <v>0</v>
      </c>
      <c r="E10" s="45">
        <f>SUMIF(TE!$A$48:'TE'!$A$85,$A$2,TE!$AA$48:'TE'!$AA$85)</f>
        <v>0</v>
      </c>
      <c r="F10" s="45">
        <f>SUMIF(TE!$A$48:'TE'!$A$85,$A$2,TE!$AB$48:'TE'!$AB$85)</f>
        <v>0</v>
      </c>
      <c r="G10" s="45">
        <f>SUMIF(TE!$A$48:'TE'!$A$85,$A$2,TE!$AC$48:'TE'!$AC$85)</f>
        <v>172116.41638400254</v>
      </c>
      <c r="H10" s="45">
        <f>SUMIF(TE!$A$48:'TE'!$A$85,$A$2,TE!$AD$48:'TE'!$AD$85)</f>
        <v>0</v>
      </c>
      <c r="I10" s="45">
        <f>SUMIF(TE!$A$48:'TE'!$A$85,$A$2,TE!$AE$48:'TE'!$AE$85)</f>
        <v>0</v>
      </c>
      <c r="J10" s="45">
        <f>SUMIF(TE!$A$48:'TE'!$A$85,$A$2,TE!$AF$48:'TE'!$AF$85)</f>
        <v>0</v>
      </c>
      <c r="K10" s="45">
        <f>SUMIF(TE!$A$48:'TE'!$A$85,$A$2,TE!$AG$48:'TE'!$AG$85)</f>
        <v>0</v>
      </c>
      <c r="L10" s="45">
        <f>SUMIF(TE!$A$48:'TE'!$A$85,$A$2,TE!$AH$48:'TE'!$AH$85)</f>
        <v>0</v>
      </c>
      <c r="M10" s="45">
        <f t="shared" si="0"/>
        <v>172116.41638400254</v>
      </c>
      <c r="AD10" s="14" t="s">
        <v>85</v>
      </c>
    </row>
    <row r="11" spans="1:33" x14ac:dyDescent="0.2">
      <c r="A11" s="14" t="s">
        <v>1012</v>
      </c>
      <c r="B11" s="45">
        <f>SUMIF(TE!$A$48:'TE'!$A$85,$A$2,TE!$L$48:'TE'!$L$85)</f>
        <v>0</v>
      </c>
      <c r="C11" s="45">
        <f>SUMIF(TE!$A$48:'TE'!$A$85,$A$2,TE!$M$48:'TE'!$M$85)</f>
        <v>0</v>
      </c>
      <c r="D11" s="45">
        <f>SUMIF(TE!$A$48:'TE'!$A$85,$A$2,TE!$N$48:'TE'!$N$85)</f>
        <v>0</v>
      </c>
      <c r="E11" s="45">
        <f>SUMIF(TE!$A$48:'TE'!$A$85,$A$2,TE!$O$48:'TE'!$O$85)</f>
        <v>0</v>
      </c>
      <c r="F11" s="45">
        <f>SUMIF(TE!$A$48:'TE'!$A$85,$A$2,TE!$P$48:'TE'!$P$85)</f>
        <v>0</v>
      </c>
      <c r="G11" s="45">
        <f>SUMIF(TE!$A$48:'TE'!$A$85,$A$2,TE!$Q$48:'TE'!$Q$85)</f>
        <v>154177.84568317898</v>
      </c>
      <c r="H11" s="45">
        <f>SUMIF(TE!$A$48:'TE'!$A$85,$A$2,TE!$R$48:'TE'!$R$85)</f>
        <v>0</v>
      </c>
      <c r="I11" s="45">
        <f>SUMIF(TE!$A$48:'TE'!$A$85,$A$2,TE!$S$48:'TE'!$S$85)</f>
        <v>0</v>
      </c>
      <c r="J11" s="45">
        <f>SUMIF(TE!$A$48:'TE'!$A$85,$A$2,TE!$T$48:'TE'!$T$85)</f>
        <v>0</v>
      </c>
      <c r="K11" s="45">
        <f>SUMIF(TE!$A$48:'TE'!$A$85,$A$2,TE!$U$48:'TE'!$U$85)</f>
        <v>-2215.9788732398974</v>
      </c>
      <c r="L11" s="45">
        <f>SUMIF(TE!$A$48:'TE'!$A$85,$A$2,TE!$V$48:'TE'!$V$85)</f>
        <v>0</v>
      </c>
      <c r="M11" s="45">
        <f t="shared" si="0"/>
        <v>151961.86680993909</v>
      </c>
    </row>
    <row r="13" spans="1:33" x14ac:dyDescent="0.2">
      <c r="A13" s="14" t="s">
        <v>1016</v>
      </c>
      <c r="B13" s="63">
        <f t="shared" ref="B13:M13" si="1">IF($M$6&lt;&gt;0,(B$7-B$6)/$M$6,0)</f>
        <v>0</v>
      </c>
      <c r="C13" s="63">
        <f t="shared" si="1"/>
        <v>0</v>
      </c>
      <c r="D13" s="63">
        <f t="shared" si="1"/>
        <v>0</v>
      </c>
      <c r="E13" s="63">
        <f t="shared" si="1"/>
        <v>0</v>
      </c>
      <c r="F13" s="63">
        <f t="shared" si="1"/>
        <v>0</v>
      </c>
      <c r="G13" s="63">
        <f t="shared" si="1"/>
        <v>-0.10194181156750774</v>
      </c>
      <c r="H13" s="63">
        <f t="shared" si="1"/>
        <v>0</v>
      </c>
      <c r="I13" s="63">
        <f t="shared" si="1"/>
        <v>0</v>
      </c>
      <c r="J13" s="63">
        <f t="shared" si="1"/>
        <v>0</v>
      </c>
      <c r="K13" s="63">
        <f t="shared" si="1"/>
        <v>-1.2907677907213212E-2</v>
      </c>
      <c r="L13" s="63">
        <f t="shared" si="1"/>
        <v>0</v>
      </c>
      <c r="M13" s="63">
        <f t="shared" si="1"/>
        <v>-0.114849489474721</v>
      </c>
    </row>
    <row r="14" spans="1:33" x14ac:dyDescent="0.2">
      <c r="A14" s="14" t="s">
        <v>1017</v>
      </c>
      <c r="B14" s="63">
        <f t="shared" ref="B14:M14" si="2">IF($M$10&lt;&gt;0,(B$9-B$8)/$M$10,0)</f>
        <v>0</v>
      </c>
      <c r="C14" s="63">
        <f t="shared" si="2"/>
        <v>0</v>
      </c>
      <c r="D14" s="63">
        <f t="shared" si="2"/>
        <v>0</v>
      </c>
      <c r="E14" s="63">
        <f t="shared" si="2"/>
        <v>0</v>
      </c>
      <c r="F14" s="63">
        <f t="shared" si="2"/>
        <v>0</v>
      </c>
      <c r="G14" s="63">
        <f t="shared" si="2"/>
        <v>-0.10422347314506876</v>
      </c>
      <c r="H14" s="63">
        <f t="shared" si="2"/>
        <v>0</v>
      </c>
      <c r="I14" s="63">
        <f t="shared" si="2"/>
        <v>0</v>
      </c>
      <c r="J14" s="63">
        <f t="shared" si="2"/>
        <v>0</v>
      </c>
      <c r="K14" s="63">
        <f t="shared" si="2"/>
        <v>-1.2874883871018494E-2</v>
      </c>
      <c r="L14" s="63">
        <f t="shared" si="2"/>
        <v>0</v>
      </c>
      <c r="M14" s="63">
        <f t="shared" si="2"/>
        <v>-0.1170983570160872</v>
      </c>
    </row>
    <row r="15" spans="1:33" x14ac:dyDescent="0.2">
      <c r="A15" s="14" t="s">
        <v>1018</v>
      </c>
      <c r="B15" s="63">
        <f t="shared" ref="B15:M15" si="3">IF($M$8&lt;&gt;0,(B$9-B$8)/$M$8,0)</f>
        <v>0</v>
      </c>
      <c r="C15" s="63">
        <f t="shared" si="3"/>
        <v>0</v>
      </c>
      <c r="D15" s="63">
        <f t="shared" si="3"/>
        <v>0</v>
      </c>
      <c r="E15" s="63">
        <f t="shared" si="3"/>
        <v>0</v>
      </c>
      <c r="F15" s="63">
        <f t="shared" si="3"/>
        <v>0</v>
      </c>
      <c r="G15" s="63">
        <f t="shared" si="3"/>
        <v>-0.10422347314506876</v>
      </c>
      <c r="H15" s="63">
        <f t="shared" si="3"/>
        <v>0</v>
      </c>
      <c r="I15" s="63">
        <f t="shared" si="3"/>
        <v>0</v>
      </c>
      <c r="J15" s="63">
        <f t="shared" si="3"/>
        <v>0</v>
      </c>
      <c r="K15" s="63">
        <f t="shared" si="3"/>
        <v>-1.2874883871018494E-2</v>
      </c>
      <c r="L15" s="63">
        <f t="shared" si="3"/>
        <v>0</v>
      </c>
      <c r="M15" s="63">
        <f t="shared" si="3"/>
        <v>-0.1170983570160872</v>
      </c>
    </row>
  </sheetData>
  <dataValidations count="4">
    <dataValidation type="list" allowBlank="1" showInputMessage="1" showErrorMessage="1" sqref="A2 G2" xr:uid="{D45B3549-6E97-478C-B06A-1F904D4FD1B4}">
      <formula1>AA1:AA5</formula1>
    </dataValidation>
    <dataValidation type="list" allowBlank="1" showInputMessage="1" showErrorMessage="1" sqref="B2 C2" xr:uid="{AA29F7C7-C73E-4597-B2A7-40F6276569A5}">
      <formula1>AB1:AB4</formula1>
    </dataValidation>
    <dataValidation type="list" allowBlank="1" showInputMessage="1" showErrorMessage="1" sqref="D2" xr:uid="{A8B2659A-079B-458C-90A2-4C036860A4FD}">
      <formula1>AD1:AD10</formula1>
    </dataValidation>
    <dataValidation type="list" allowBlank="1" showInputMessage="1" showErrorMessage="1" sqref="E2 F2" xr:uid="{84239D62-C95A-4077-9FD7-4EBCE9C6B5A5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5791-D996-42C5-9196-AFCC774D9096}">
  <dimension ref="B1:U11"/>
  <sheetViews>
    <sheetView showGridLines="0" workbookViewId="0">
      <selection activeCell="U1" sqref="U1"/>
    </sheetView>
  </sheetViews>
  <sheetFormatPr defaultRowHeight="15" x14ac:dyDescent="0.25"/>
  <sheetData>
    <row r="1" spans="2:21" x14ac:dyDescent="0.25">
      <c r="B1" s="57" t="s">
        <v>624</v>
      </c>
      <c r="C1" s="57" t="s">
        <v>625</v>
      </c>
      <c r="D1" s="57" t="s">
        <v>626</v>
      </c>
      <c r="E1" s="57" t="s">
        <v>2</v>
      </c>
      <c r="F1" s="57" t="s">
        <v>627</v>
      </c>
      <c r="G1" s="57" t="s">
        <v>542</v>
      </c>
      <c r="H1" s="57" t="s">
        <v>3</v>
      </c>
      <c r="I1" s="57" t="s">
        <v>628</v>
      </c>
      <c r="J1" s="57" t="s">
        <v>5</v>
      </c>
      <c r="K1" s="57" t="s">
        <v>1</v>
      </c>
      <c r="L1" s="57" t="s">
        <v>629</v>
      </c>
      <c r="M1" s="57" t="s">
        <v>630</v>
      </c>
      <c r="N1" s="57" t="s">
        <v>631</v>
      </c>
      <c r="O1" s="57" t="s">
        <v>632</v>
      </c>
      <c r="P1" s="57" t="s">
        <v>633</v>
      </c>
      <c r="Q1" s="57" t="s">
        <v>634</v>
      </c>
      <c r="R1" s="57" t="s">
        <v>635</v>
      </c>
      <c r="S1" s="57" t="s">
        <v>636</v>
      </c>
      <c r="T1" s="57" t="s">
        <v>637</v>
      </c>
      <c r="U1" s="57" t="s">
        <v>638</v>
      </c>
    </row>
    <row r="2" spans="2:21" x14ac:dyDescent="0.25">
      <c r="B2" s="56" t="s">
        <v>614</v>
      </c>
      <c r="C2" s="56">
        <v>5574</v>
      </c>
      <c r="D2" s="56">
        <v>5382</v>
      </c>
      <c r="E2" s="56" t="s">
        <v>33</v>
      </c>
      <c r="F2" s="56">
        <v>1</v>
      </c>
      <c r="G2" s="56" t="s">
        <v>615</v>
      </c>
      <c r="H2" s="56" t="s">
        <v>42</v>
      </c>
      <c r="I2" s="56" t="s">
        <v>25</v>
      </c>
      <c r="J2" s="56" t="s">
        <v>42</v>
      </c>
      <c r="K2" s="56" t="s">
        <v>41</v>
      </c>
      <c r="L2" s="56">
        <v>0.3</v>
      </c>
      <c r="M2" s="56">
        <v>0.24</v>
      </c>
      <c r="N2" s="56">
        <v>0.18</v>
      </c>
      <c r="O2" s="56">
        <v>0.12</v>
      </c>
      <c r="P2" s="56">
        <v>0.06</v>
      </c>
      <c r="Q2" s="56">
        <v>0</v>
      </c>
      <c r="R2" s="56"/>
      <c r="S2" s="56"/>
      <c r="T2" s="56"/>
      <c r="U2" s="56">
        <v>3</v>
      </c>
    </row>
    <row r="3" spans="2:21" x14ac:dyDescent="0.25">
      <c r="B3" s="56" t="s">
        <v>616</v>
      </c>
      <c r="C3" s="56">
        <v>7307</v>
      </c>
      <c r="D3" s="56">
        <v>5382</v>
      </c>
      <c r="E3" s="56" t="s">
        <v>23</v>
      </c>
      <c r="F3" s="56">
        <v>1</v>
      </c>
      <c r="G3" s="56" t="s">
        <v>615</v>
      </c>
      <c r="H3" s="56" t="s">
        <v>42</v>
      </c>
      <c r="I3" s="56" t="s">
        <v>25</v>
      </c>
      <c r="J3" s="56" t="s">
        <v>42</v>
      </c>
      <c r="K3" s="56" t="s">
        <v>41</v>
      </c>
      <c r="L3" s="56">
        <v>0.3</v>
      </c>
      <c r="M3" s="56">
        <v>0.24</v>
      </c>
      <c r="N3" s="56">
        <v>0.18</v>
      </c>
      <c r="O3" s="56">
        <v>0.12</v>
      </c>
      <c r="P3" s="56">
        <v>0.06</v>
      </c>
      <c r="Q3" s="56">
        <v>0</v>
      </c>
      <c r="R3" s="56"/>
      <c r="S3" s="56"/>
      <c r="T3" s="56"/>
      <c r="U3" s="56">
        <v>3</v>
      </c>
    </row>
    <row r="4" spans="2:21" x14ac:dyDescent="0.25">
      <c r="B4" s="56" t="s">
        <v>614</v>
      </c>
      <c r="C4" s="56">
        <v>7308</v>
      </c>
      <c r="D4" s="56">
        <v>5382</v>
      </c>
      <c r="E4" s="56" t="s">
        <v>33</v>
      </c>
      <c r="F4" s="56">
        <v>1</v>
      </c>
      <c r="G4" s="56" t="s">
        <v>615</v>
      </c>
      <c r="H4" s="56" t="s">
        <v>42</v>
      </c>
      <c r="I4" s="56" t="s">
        <v>25</v>
      </c>
      <c r="J4" s="56" t="s">
        <v>42</v>
      </c>
      <c r="K4" s="56" t="s">
        <v>41</v>
      </c>
      <c r="L4" s="56">
        <v>0.3</v>
      </c>
      <c r="M4" s="56">
        <v>0.24</v>
      </c>
      <c r="N4" s="56">
        <v>0.18</v>
      </c>
      <c r="O4" s="56">
        <v>0.12</v>
      </c>
      <c r="P4" s="56">
        <v>0.06</v>
      </c>
      <c r="Q4" s="56">
        <v>0</v>
      </c>
      <c r="R4" s="56"/>
      <c r="S4" s="56"/>
      <c r="T4" s="56"/>
      <c r="U4" s="56">
        <v>3</v>
      </c>
    </row>
    <row r="5" spans="2:21" x14ac:dyDescent="0.25">
      <c r="B5" s="56" t="s">
        <v>617</v>
      </c>
      <c r="C5" s="56">
        <v>7309</v>
      </c>
      <c r="D5" s="56">
        <v>5382</v>
      </c>
      <c r="E5" s="56" t="s">
        <v>23</v>
      </c>
      <c r="F5" s="56">
        <v>1</v>
      </c>
      <c r="G5" s="56" t="s">
        <v>615</v>
      </c>
      <c r="H5" s="56" t="s">
        <v>42</v>
      </c>
      <c r="I5" s="56" t="s">
        <v>83</v>
      </c>
      <c r="J5" s="56" t="s">
        <v>566</v>
      </c>
      <c r="K5" s="56" t="s">
        <v>41</v>
      </c>
      <c r="L5" s="56">
        <v>0.3</v>
      </c>
      <c r="M5" s="56">
        <v>0.24</v>
      </c>
      <c r="N5" s="56">
        <v>0.18</v>
      </c>
      <c r="O5" s="56">
        <v>0.12</v>
      </c>
      <c r="P5" s="56">
        <v>0.06</v>
      </c>
      <c r="Q5" s="56">
        <v>0</v>
      </c>
      <c r="R5" s="56"/>
      <c r="S5" s="56"/>
      <c r="T5" s="56"/>
      <c r="U5" s="56">
        <v>3</v>
      </c>
    </row>
    <row r="6" spans="2:21" x14ac:dyDescent="0.25">
      <c r="B6" s="56" t="s">
        <v>618</v>
      </c>
      <c r="C6" s="56">
        <v>7310</v>
      </c>
      <c r="D6" s="56">
        <v>5382</v>
      </c>
      <c r="E6" s="56" t="s">
        <v>33</v>
      </c>
      <c r="F6" s="56">
        <v>1</v>
      </c>
      <c r="G6" s="56" t="s">
        <v>615</v>
      </c>
      <c r="H6" s="56" t="s">
        <v>42</v>
      </c>
      <c r="I6" s="56" t="s">
        <v>83</v>
      </c>
      <c r="J6" s="56" t="s">
        <v>566</v>
      </c>
      <c r="K6" s="56" t="s">
        <v>41</v>
      </c>
      <c r="L6" s="56">
        <v>0.3</v>
      </c>
      <c r="M6" s="56">
        <v>0.24</v>
      </c>
      <c r="N6" s="56">
        <v>0.18</v>
      </c>
      <c r="O6" s="56">
        <v>0.12</v>
      </c>
      <c r="P6" s="56">
        <v>0.06</v>
      </c>
      <c r="Q6" s="56">
        <v>0</v>
      </c>
      <c r="R6" s="56"/>
      <c r="S6" s="56"/>
      <c r="T6" s="56"/>
      <c r="U6" s="56">
        <v>3</v>
      </c>
    </row>
    <row r="7" spans="2:21" x14ac:dyDescent="0.25">
      <c r="B7" s="56" t="s">
        <v>619</v>
      </c>
      <c r="C7" s="56">
        <v>7311</v>
      </c>
      <c r="D7" s="56">
        <v>5382</v>
      </c>
      <c r="E7" s="56" t="s">
        <v>23</v>
      </c>
      <c r="F7" s="56">
        <v>1</v>
      </c>
      <c r="G7" s="56" t="s">
        <v>615</v>
      </c>
      <c r="H7" s="56" t="s">
        <v>42</v>
      </c>
      <c r="I7" s="56" t="s">
        <v>84</v>
      </c>
      <c r="J7" s="56" t="s">
        <v>566</v>
      </c>
      <c r="K7" s="56" t="s">
        <v>41</v>
      </c>
      <c r="L7" s="56">
        <v>0.4</v>
      </c>
      <c r="M7" s="56">
        <v>0.32</v>
      </c>
      <c r="N7" s="56">
        <v>0.24</v>
      </c>
      <c r="O7" s="56">
        <v>0.16</v>
      </c>
      <c r="P7" s="56">
        <v>0.08</v>
      </c>
      <c r="Q7" s="56">
        <v>0</v>
      </c>
      <c r="R7" s="56"/>
      <c r="S7" s="56"/>
      <c r="T7" s="56"/>
      <c r="U7" s="56">
        <v>3</v>
      </c>
    </row>
    <row r="8" spans="2:21" x14ac:dyDescent="0.25">
      <c r="B8" s="56" t="s">
        <v>620</v>
      </c>
      <c r="C8" s="56">
        <v>7312</v>
      </c>
      <c r="D8" s="56">
        <v>5382</v>
      </c>
      <c r="E8" s="56" t="s">
        <v>33</v>
      </c>
      <c r="F8" s="56">
        <v>1</v>
      </c>
      <c r="G8" s="56" t="s">
        <v>615</v>
      </c>
      <c r="H8" s="56" t="s">
        <v>42</v>
      </c>
      <c r="I8" s="56" t="s">
        <v>84</v>
      </c>
      <c r="J8" s="56" t="s">
        <v>566</v>
      </c>
      <c r="K8" s="56" t="s">
        <v>41</v>
      </c>
      <c r="L8" s="56">
        <v>0.4</v>
      </c>
      <c r="M8" s="56">
        <v>0.32</v>
      </c>
      <c r="N8" s="56">
        <v>0.24</v>
      </c>
      <c r="O8" s="56">
        <v>0.16</v>
      </c>
      <c r="P8" s="56">
        <v>0.08</v>
      </c>
      <c r="Q8" s="56">
        <v>0</v>
      </c>
      <c r="R8" s="56"/>
      <c r="S8" s="56"/>
      <c r="T8" s="56"/>
      <c r="U8" s="56">
        <v>3</v>
      </c>
    </row>
    <row r="9" spans="2:21" x14ac:dyDescent="0.25">
      <c r="B9" s="56" t="s">
        <v>621</v>
      </c>
      <c r="C9" s="56">
        <v>7313</v>
      </c>
      <c r="D9" s="56">
        <v>5382</v>
      </c>
      <c r="E9" s="56" t="s">
        <v>23</v>
      </c>
      <c r="F9" s="56">
        <v>1</v>
      </c>
      <c r="G9" s="56" t="s">
        <v>615</v>
      </c>
      <c r="H9" s="56" t="s">
        <v>42</v>
      </c>
      <c r="I9" s="56" t="s">
        <v>25</v>
      </c>
      <c r="J9" s="56" t="s">
        <v>566</v>
      </c>
      <c r="K9" s="56" t="s">
        <v>41</v>
      </c>
      <c r="L9" s="56">
        <v>0.3</v>
      </c>
      <c r="M9" s="56">
        <v>0.24</v>
      </c>
      <c r="N9" s="56">
        <v>0.18</v>
      </c>
      <c r="O9" s="56">
        <v>0.12</v>
      </c>
      <c r="P9" s="56">
        <v>0.06</v>
      </c>
      <c r="Q9" s="56">
        <v>0</v>
      </c>
      <c r="R9" s="56"/>
      <c r="S9" s="56"/>
      <c r="T9" s="56"/>
      <c r="U9" s="56">
        <v>3</v>
      </c>
    </row>
    <row r="10" spans="2:21" x14ac:dyDescent="0.25">
      <c r="B10" s="56" t="s">
        <v>622</v>
      </c>
      <c r="C10" s="56">
        <v>7970</v>
      </c>
      <c r="D10" s="56">
        <v>5382</v>
      </c>
      <c r="E10" s="56" t="s">
        <v>23</v>
      </c>
      <c r="F10" s="56">
        <v>1</v>
      </c>
      <c r="G10" s="56" t="s">
        <v>615</v>
      </c>
      <c r="H10" s="56" t="s">
        <v>47</v>
      </c>
      <c r="I10" s="56" t="s">
        <v>48</v>
      </c>
      <c r="J10" s="56" t="s">
        <v>566</v>
      </c>
      <c r="K10" s="56" t="s">
        <v>37</v>
      </c>
      <c r="L10" s="56">
        <v>0.15</v>
      </c>
      <c r="M10" s="56">
        <v>0.12</v>
      </c>
      <c r="N10" s="56">
        <v>0.09</v>
      </c>
      <c r="O10" s="56">
        <v>0.06</v>
      </c>
      <c r="P10" s="56">
        <v>0.03</v>
      </c>
      <c r="Q10" s="56">
        <v>0</v>
      </c>
      <c r="R10" s="56"/>
      <c r="S10" s="56"/>
      <c r="T10" s="56"/>
      <c r="U10" s="56">
        <v>3</v>
      </c>
    </row>
    <row r="11" spans="2:21" x14ac:dyDescent="0.25">
      <c r="B11" s="56" t="s">
        <v>623</v>
      </c>
      <c r="C11" s="56">
        <v>7971</v>
      </c>
      <c r="D11" s="56">
        <v>5382</v>
      </c>
      <c r="E11" s="56" t="s">
        <v>33</v>
      </c>
      <c r="F11" s="56">
        <v>1</v>
      </c>
      <c r="G11" s="56" t="s">
        <v>615</v>
      </c>
      <c r="H11" s="56" t="s">
        <v>47</v>
      </c>
      <c r="I11" s="56" t="s">
        <v>48</v>
      </c>
      <c r="J11" s="56" t="s">
        <v>566</v>
      </c>
      <c r="K11" s="56" t="s">
        <v>37</v>
      </c>
      <c r="L11" s="56">
        <v>0.15</v>
      </c>
      <c r="M11" s="56">
        <v>0.12</v>
      </c>
      <c r="N11" s="56">
        <v>0.09</v>
      </c>
      <c r="O11" s="56">
        <v>0.06</v>
      </c>
      <c r="P11" s="56">
        <v>0.03</v>
      </c>
      <c r="Q11" s="56">
        <v>0</v>
      </c>
      <c r="R11" s="56"/>
      <c r="S11" s="56"/>
      <c r="T11" s="56"/>
      <c r="U11" s="5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C7C3-AA72-47E1-80ED-63F037563AB3}">
  <dimension ref="A1:L18"/>
  <sheetViews>
    <sheetView showGridLines="0" workbookViewId="0">
      <selection activeCell="H23" sqref="H23"/>
    </sheetView>
  </sheetViews>
  <sheetFormatPr defaultRowHeight="11.25" x14ac:dyDescent="0.2"/>
  <cols>
    <col min="1" max="1" width="31.42578125" style="14" bestFit="1" customWidth="1"/>
    <col min="2" max="2" width="18.42578125" style="14" customWidth="1"/>
    <col min="3" max="12" width="11" style="14" customWidth="1"/>
    <col min="13" max="16384" width="9.140625" style="14"/>
  </cols>
  <sheetData>
    <row r="1" spans="1:12" ht="12" thickBot="1" x14ac:dyDescent="0.25">
      <c r="A1" s="72" t="s">
        <v>1033</v>
      </c>
      <c r="B1" s="72" t="s">
        <v>22</v>
      </c>
      <c r="C1" s="72" t="s">
        <v>1032</v>
      </c>
      <c r="D1" s="72" t="s">
        <v>1031</v>
      </c>
      <c r="E1" s="72" t="s">
        <v>37</v>
      </c>
      <c r="F1" s="72" t="s">
        <v>1030</v>
      </c>
      <c r="G1" s="72" t="s">
        <v>1029</v>
      </c>
      <c r="H1" s="72" t="s">
        <v>535</v>
      </c>
      <c r="I1" s="72" t="s">
        <v>39</v>
      </c>
      <c r="J1" s="72" t="s">
        <v>534</v>
      </c>
      <c r="K1" s="72" t="s">
        <v>533</v>
      </c>
      <c r="L1" s="72" t="s">
        <v>532</v>
      </c>
    </row>
    <row r="2" spans="1:12" x14ac:dyDescent="0.2">
      <c r="A2" s="68" t="s">
        <v>1028</v>
      </c>
      <c r="B2" s="74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5804.6977519865395</v>
      </c>
      <c r="C2" s="74">
        <f t="shared" si="0"/>
        <v>5456.446569790889</v>
      </c>
      <c r="D2" s="74">
        <f t="shared" si="0"/>
        <v>5340.3628423923392</v>
      </c>
      <c r="E2" s="74">
        <f t="shared" si="0"/>
        <v>5804.6977519865395</v>
      </c>
      <c r="F2" s="74">
        <f t="shared" si="0"/>
        <v>3192.5581944896453</v>
      </c>
      <c r="G2" s="74">
        <f t="shared" si="0"/>
        <v>3482.5118219565084</v>
      </c>
      <c r="H2" s="74">
        <f t="shared" si="0"/>
        <v>0</v>
      </c>
      <c r="I2" s="74">
        <f t="shared" si="0"/>
        <v>1567.3815687992496</v>
      </c>
      <c r="J2" s="74">
        <f t="shared" si="0"/>
        <v>0</v>
      </c>
      <c r="K2" s="74">
        <f t="shared" si="0"/>
        <v>0</v>
      </c>
      <c r="L2" s="74">
        <f t="shared" si="0"/>
        <v>0</v>
      </c>
    </row>
    <row r="3" spans="1:12" ht="12" thickBot="1" x14ac:dyDescent="0.25">
      <c r="A3" s="66" t="s">
        <v>1027</v>
      </c>
      <c r="B3" s="73">
        <v>113.51</v>
      </c>
      <c r="C3" s="73">
        <v>106.7</v>
      </c>
      <c r="D3" s="73">
        <v>104.43</v>
      </c>
      <c r="E3" s="73">
        <v>113.51</v>
      </c>
      <c r="F3" s="73">
        <v>62.43</v>
      </c>
      <c r="G3" s="73">
        <v>68.099999999999994</v>
      </c>
      <c r="H3" s="73">
        <v>0</v>
      </c>
      <c r="I3" s="73">
        <f>'TUSD BE'!$AC$6</f>
        <v>30.649913135187028</v>
      </c>
      <c r="J3" s="73">
        <v>0</v>
      </c>
      <c r="K3" s="73">
        <v>0</v>
      </c>
      <c r="L3" s="73">
        <v>0</v>
      </c>
    </row>
    <row r="5" spans="1:12" ht="12" thickBot="1" x14ac:dyDescent="0.25">
      <c r="A5" s="72" t="s">
        <v>1026</v>
      </c>
      <c r="B5" s="72" t="s">
        <v>1025</v>
      </c>
    </row>
    <row r="6" spans="1:12" x14ac:dyDescent="0.2">
      <c r="A6" s="68" t="s">
        <v>1024</v>
      </c>
      <c r="B6" s="71">
        <v>3.7699999999999997E-2</v>
      </c>
    </row>
    <row r="7" spans="1:12" x14ac:dyDescent="0.2">
      <c r="A7" s="70" t="s">
        <v>1023</v>
      </c>
      <c r="B7" s="69">
        <v>0</v>
      </c>
    </row>
    <row r="8" spans="1:12" x14ac:dyDescent="0.2">
      <c r="A8" s="68" t="s">
        <v>1022</v>
      </c>
      <c r="B8" s="67">
        <v>5584341.4623364173</v>
      </c>
    </row>
    <row r="9" spans="1:12" x14ac:dyDescent="0.2">
      <c r="A9" s="70" t="s">
        <v>1021</v>
      </c>
      <c r="B9" s="69">
        <v>0.04</v>
      </c>
    </row>
    <row r="10" spans="1:12" x14ac:dyDescent="0.2">
      <c r="A10" s="68" t="s">
        <v>1020</v>
      </c>
      <c r="B10" s="67">
        <v>4097807.217979467</v>
      </c>
    </row>
    <row r="11" spans="1:12" ht="12" thickBot="1" x14ac:dyDescent="0.25">
      <c r="A11" s="66" t="s">
        <v>1019</v>
      </c>
      <c r="B11" s="65">
        <f>(1+$B$6)^(1/IF($B$9&lt;&gt;0,$B$9,1))*$B$6/IF((1+$B$6)^(1/IF($B$9&lt;&gt;0,$B$9,1))-1&lt;&gt;0,(1+$B$6)^(1/IF($B$9&lt;&gt;0,$B$9,1))-1,1)</f>
        <v>6.2465282847789703E-2</v>
      </c>
    </row>
    <row r="18" spans="2:2" x14ac:dyDescent="0.2">
      <c r="B18" s="6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E92C-1CE7-4412-8ADB-C65D8E4730FF}">
  <dimension ref="B1:AR50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2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14.5703125" bestFit="1" customWidth="1"/>
    <col min="36" max="36" width="9.85546875" bestFit="1" customWidth="1"/>
    <col min="37" max="37" width="12.5703125" bestFit="1" customWidth="1"/>
    <col min="38" max="38" width="12.28515625" bestFit="1" customWidth="1"/>
    <col min="39" max="39" width="14.140625" bestFit="1" customWidth="1"/>
    <col min="40" max="40" width="25.28515625" bestFit="1" customWidth="1"/>
    <col min="41" max="41" width="17.85546875" bestFit="1" customWidth="1"/>
    <col min="42" max="42" width="13.42578125" bestFit="1" customWidth="1"/>
    <col min="43" max="43" width="13.28515625" bestFit="1" customWidth="1"/>
    <col min="44" max="44" width="12.5703125" bestFit="1" customWidth="1"/>
  </cols>
  <sheetData>
    <row r="1" spans="2:44" ht="12" customHeight="1" x14ac:dyDescent="0.25">
      <c r="L1" s="121" t="s">
        <v>1071</v>
      </c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2"/>
      <c r="AH1" s="121" t="s">
        <v>1072</v>
      </c>
      <c r="AI1" s="121"/>
      <c r="AJ1" s="121"/>
      <c r="AK1" s="121"/>
      <c r="AL1" s="121"/>
      <c r="AM1" s="121"/>
      <c r="AN1" s="121"/>
      <c r="AO1" s="121"/>
      <c r="AP1" s="121"/>
      <c r="AQ1" s="121"/>
      <c r="AR1" s="121"/>
    </row>
    <row r="2" spans="2:44" ht="12" customHeight="1" x14ac:dyDescent="0.25">
      <c r="L2" s="123" t="s">
        <v>400</v>
      </c>
      <c r="M2" s="123"/>
      <c r="N2" s="123"/>
      <c r="O2" s="123"/>
      <c r="P2" s="123"/>
      <c r="Q2" s="123"/>
      <c r="R2" s="123"/>
      <c r="S2" s="124"/>
      <c r="T2" s="123" t="s">
        <v>409</v>
      </c>
      <c r="U2" s="123"/>
      <c r="V2" s="123"/>
      <c r="W2" s="123"/>
      <c r="X2" s="123"/>
      <c r="Y2" s="123"/>
      <c r="Z2" s="124"/>
      <c r="AA2" s="86" t="s">
        <v>417</v>
      </c>
      <c r="AB2" s="123" t="s">
        <v>25</v>
      </c>
      <c r="AC2" s="124"/>
      <c r="AD2" s="123" t="s">
        <v>1070</v>
      </c>
      <c r="AE2" s="123"/>
      <c r="AF2" s="123"/>
      <c r="AG2" s="124"/>
      <c r="AH2" s="123" t="s">
        <v>400</v>
      </c>
      <c r="AI2" s="123"/>
      <c r="AJ2" s="123"/>
      <c r="AK2" s="123"/>
      <c r="AL2" s="124"/>
      <c r="AM2" s="86" t="s">
        <v>431</v>
      </c>
      <c r="AN2" s="123" t="s">
        <v>409</v>
      </c>
      <c r="AO2" s="123"/>
      <c r="AP2" s="123"/>
      <c r="AQ2" s="124"/>
      <c r="AR2" s="85" t="s">
        <v>1070</v>
      </c>
    </row>
    <row r="3" spans="2:44" ht="12" customHeight="1" x14ac:dyDescent="0.25">
      <c r="B3" s="76" t="s">
        <v>56</v>
      </c>
      <c r="C3" s="77" t="s">
        <v>57</v>
      </c>
      <c r="D3" s="77" t="s">
        <v>58</v>
      </c>
      <c r="E3" s="77" t="s">
        <v>59</v>
      </c>
      <c r="F3" s="77" t="s">
        <v>60</v>
      </c>
      <c r="G3" s="77" t="s">
        <v>62</v>
      </c>
      <c r="H3" s="77" t="s">
        <v>63</v>
      </c>
      <c r="I3" s="77" t="s">
        <v>669</v>
      </c>
      <c r="J3" s="77" t="s">
        <v>1034</v>
      </c>
      <c r="K3" s="77" t="s">
        <v>1035</v>
      </c>
      <c r="L3" s="77" t="s">
        <v>1036</v>
      </c>
      <c r="M3" s="77" t="s">
        <v>1037</v>
      </c>
      <c r="N3" s="77" t="s">
        <v>1038</v>
      </c>
      <c r="O3" s="77" t="s">
        <v>1039</v>
      </c>
      <c r="P3" s="77" t="s">
        <v>1040</v>
      </c>
      <c r="Q3" s="77" t="s">
        <v>1041</v>
      </c>
      <c r="R3" s="77" t="s">
        <v>1042</v>
      </c>
      <c r="S3" s="77" t="s">
        <v>1043</v>
      </c>
      <c r="T3" s="77" t="s">
        <v>1044</v>
      </c>
      <c r="U3" s="77" t="s">
        <v>1045</v>
      </c>
      <c r="V3" s="77" t="s">
        <v>1046</v>
      </c>
      <c r="W3" s="77" t="s">
        <v>1047</v>
      </c>
      <c r="X3" s="77" t="s">
        <v>1048</v>
      </c>
      <c r="Y3" s="77" t="s">
        <v>1049</v>
      </c>
      <c r="Z3" s="77" t="s">
        <v>1050</v>
      </c>
      <c r="AA3" s="77" t="s">
        <v>1051</v>
      </c>
      <c r="AB3" s="77" t="s">
        <v>1052</v>
      </c>
      <c r="AC3" s="77" t="s">
        <v>1053</v>
      </c>
      <c r="AD3" s="77" t="s">
        <v>1054</v>
      </c>
      <c r="AE3" s="77" t="s">
        <v>1055</v>
      </c>
      <c r="AF3" s="77" t="s">
        <v>1056</v>
      </c>
      <c r="AG3" s="77" t="s">
        <v>1057</v>
      </c>
      <c r="AH3" s="77" t="s">
        <v>1058</v>
      </c>
      <c r="AI3" s="77" t="s">
        <v>1059</v>
      </c>
      <c r="AJ3" s="77" t="s">
        <v>1060</v>
      </c>
      <c r="AK3" s="77" t="s">
        <v>1061</v>
      </c>
      <c r="AL3" s="77" t="s">
        <v>1062</v>
      </c>
      <c r="AM3" s="77" t="s">
        <v>1063</v>
      </c>
      <c r="AN3" s="77" t="s">
        <v>1064</v>
      </c>
      <c r="AO3" s="77" t="s">
        <v>1065</v>
      </c>
      <c r="AP3" s="77" t="s">
        <v>1066</v>
      </c>
      <c r="AQ3" s="77" t="s">
        <v>1067</v>
      </c>
      <c r="AR3" s="78" t="s">
        <v>1068</v>
      </c>
    </row>
    <row r="4" spans="2:44" ht="12" customHeight="1" x14ac:dyDescent="0.25">
      <c r="B4" s="79" t="s">
        <v>39</v>
      </c>
      <c r="C4" s="80" t="s">
        <v>71</v>
      </c>
      <c r="D4" s="80" t="s">
        <v>25</v>
      </c>
      <c r="E4" s="80" t="s">
        <v>25</v>
      </c>
      <c r="F4" s="80" t="s">
        <v>75</v>
      </c>
      <c r="G4" s="80" t="s">
        <v>34</v>
      </c>
      <c r="H4" s="80" t="s">
        <v>66</v>
      </c>
      <c r="I4" s="80" t="s">
        <v>25</v>
      </c>
      <c r="J4" s="80">
        <v>5.22</v>
      </c>
      <c r="K4" s="80">
        <v>0</v>
      </c>
      <c r="L4" s="80">
        <v>0</v>
      </c>
      <c r="M4" s="80">
        <v>1.09416285162132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-7.5481848290659598E-2</v>
      </c>
      <c r="AC4" s="80">
        <v>0</v>
      </c>
      <c r="AD4" s="80">
        <v>4.1964292158504604</v>
      </c>
      <c r="AE4" s="80">
        <v>0</v>
      </c>
      <c r="AF4" s="80">
        <v>0</v>
      </c>
      <c r="AG4" s="80">
        <v>0</v>
      </c>
      <c r="AH4" s="80">
        <v>0</v>
      </c>
      <c r="AI4" s="80">
        <v>0</v>
      </c>
      <c r="AJ4" s="80">
        <v>0</v>
      </c>
      <c r="AK4" s="80">
        <v>0</v>
      </c>
      <c r="AL4" s="80">
        <v>0</v>
      </c>
      <c r="AM4" s="80">
        <v>0</v>
      </c>
      <c r="AN4" s="80">
        <v>0</v>
      </c>
      <c r="AO4" s="80">
        <v>0</v>
      </c>
      <c r="AP4" s="80">
        <v>0</v>
      </c>
      <c r="AQ4" s="80">
        <v>0</v>
      </c>
      <c r="AR4" s="81">
        <v>0</v>
      </c>
    </row>
    <row r="5" spans="2:44" ht="12" customHeight="1" x14ac:dyDescent="0.25">
      <c r="B5" s="79" t="s">
        <v>39</v>
      </c>
      <c r="C5" s="80" t="s">
        <v>71</v>
      </c>
      <c r="D5" s="80" t="s">
        <v>25</v>
      </c>
      <c r="E5" s="80" t="s">
        <v>25</v>
      </c>
      <c r="F5" s="80" t="s">
        <v>75</v>
      </c>
      <c r="G5" s="80" t="s">
        <v>34</v>
      </c>
      <c r="H5" s="80" t="s">
        <v>72</v>
      </c>
      <c r="I5" s="80" t="s">
        <v>25</v>
      </c>
      <c r="J5" s="80">
        <v>78.81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33.422729912324797</v>
      </c>
      <c r="Y5" s="80">
        <v>0</v>
      </c>
      <c r="Z5" s="80">
        <v>0</v>
      </c>
      <c r="AA5" s="80">
        <v>46.827516447387801</v>
      </c>
      <c r="AB5" s="80">
        <v>-1.4443808675724801</v>
      </c>
      <c r="AC5" s="80">
        <v>0</v>
      </c>
      <c r="AD5" s="80">
        <v>0</v>
      </c>
      <c r="AE5" s="80">
        <v>0</v>
      </c>
      <c r="AF5" s="80">
        <v>0</v>
      </c>
      <c r="AG5" s="80">
        <v>0</v>
      </c>
      <c r="AH5" s="80">
        <v>0</v>
      </c>
      <c r="AI5" s="80">
        <v>0</v>
      </c>
      <c r="AJ5" s="80">
        <v>0</v>
      </c>
      <c r="AK5" s="80">
        <v>0</v>
      </c>
      <c r="AL5" s="80">
        <v>0</v>
      </c>
      <c r="AM5" s="80">
        <v>0</v>
      </c>
      <c r="AN5" s="80">
        <v>0</v>
      </c>
      <c r="AO5" s="80">
        <v>0</v>
      </c>
      <c r="AP5" s="80">
        <v>0</v>
      </c>
      <c r="AQ5" s="80">
        <v>0</v>
      </c>
      <c r="AR5" s="81">
        <v>0</v>
      </c>
    </row>
    <row r="6" spans="2:44" ht="12" customHeight="1" x14ac:dyDescent="0.25">
      <c r="B6" s="79" t="s">
        <v>39</v>
      </c>
      <c r="C6" s="80" t="s">
        <v>71</v>
      </c>
      <c r="D6" s="80" t="s">
        <v>25</v>
      </c>
      <c r="E6" s="80" t="s">
        <v>25</v>
      </c>
      <c r="F6" s="80" t="s">
        <v>75</v>
      </c>
      <c r="G6" s="80" t="s">
        <v>35</v>
      </c>
      <c r="H6" s="80" t="s">
        <v>66</v>
      </c>
      <c r="I6" s="80" t="s">
        <v>25</v>
      </c>
      <c r="J6" s="80">
        <v>5.22</v>
      </c>
      <c r="K6" s="80">
        <v>0</v>
      </c>
      <c r="L6" s="80">
        <v>0</v>
      </c>
      <c r="M6" s="80">
        <v>1.09416285162132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-7.5481848290659598E-2</v>
      </c>
      <c r="AC6" s="80">
        <v>0</v>
      </c>
      <c r="AD6" s="80">
        <v>4.1964292158504604</v>
      </c>
      <c r="AE6" s="80">
        <v>0</v>
      </c>
      <c r="AF6" s="80">
        <v>0</v>
      </c>
      <c r="AG6" s="80">
        <v>0</v>
      </c>
      <c r="AH6" s="80">
        <v>0</v>
      </c>
      <c r="AI6" s="80">
        <v>0</v>
      </c>
      <c r="AJ6" s="80">
        <v>0</v>
      </c>
      <c r="AK6" s="80">
        <v>0</v>
      </c>
      <c r="AL6" s="80">
        <v>0</v>
      </c>
      <c r="AM6" s="80">
        <v>0</v>
      </c>
      <c r="AN6" s="80">
        <v>0</v>
      </c>
      <c r="AO6" s="80">
        <v>0</v>
      </c>
      <c r="AP6" s="80">
        <v>0</v>
      </c>
      <c r="AQ6" s="80">
        <v>0</v>
      </c>
      <c r="AR6" s="81">
        <v>0</v>
      </c>
    </row>
    <row r="7" spans="2:44" ht="12" customHeight="1" x14ac:dyDescent="0.25">
      <c r="B7" s="79" t="s">
        <v>39</v>
      </c>
      <c r="C7" s="80" t="s">
        <v>71</v>
      </c>
      <c r="D7" s="80" t="s">
        <v>25</v>
      </c>
      <c r="E7" s="80" t="s">
        <v>25</v>
      </c>
      <c r="F7" s="80" t="s">
        <v>75</v>
      </c>
      <c r="G7" s="80" t="s">
        <v>35</v>
      </c>
      <c r="H7" s="80" t="s">
        <v>72</v>
      </c>
      <c r="I7" s="80" t="s">
        <v>25</v>
      </c>
      <c r="J7" s="80">
        <v>37.700000000000003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16.805470897461198</v>
      </c>
      <c r="Y7" s="80">
        <v>0</v>
      </c>
      <c r="Z7" s="80">
        <v>0</v>
      </c>
      <c r="AA7" s="80">
        <v>21.5766867212458</v>
      </c>
      <c r="AB7" s="80">
        <v>-0.68626969305865104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80">
        <v>0</v>
      </c>
      <c r="AJ7" s="80">
        <v>0</v>
      </c>
      <c r="AK7" s="80">
        <v>0</v>
      </c>
      <c r="AL7" s="80">
        <v>0</v>
      </c>
      <c r="AM7" s="80">
        <v>0</v>
      </c>
      <c r="AN7" s="80">
        <v>0</v>
      </c>
      <c r="AO7" s="80">
        <v>0</v>
      </c>
      <c r="AP7" s="80">
        <v>0</v>
      </c>
      <c r="AQ7" s="80">
        <v>0</v>
      </c>
      <c r="AR7" s="81">
        <v>0</v>
      </c>
    </row>
    <row r="8" spans="2:44" ht="12" customHeight="1" x14ac:dyDescent="0.25">
      <c r="B8" s="79" t="s">
        <v>39</v>
      </c>
      <c r="C8" s="80" t="s">
        <v>71</v>
      </c>
      <c r="D8" s="80" t="s">
        <v>25</v>
      </c>
      <c r="E8" s="80" t="s">
        <v>25</v>
      </c>
      <c r="F8" s="80" t="s">
        <v>25</v>
      </c>
      <c r="G8" s="80" t="s">
        <v>34</v>
      </c>
      <c r="H8" s="80" t="s">
        <v>66</v>
      </c>
      <c r="I8" s="80" t="s">
        <v>25</v>
      </c>
      <c r="J8" s="80">
        <v>97.14</v>
      </c>
      <c r="K8" s="80">
        <v>116.43</v>
      </c>
      <c r="L8" s="80">
        <v>0</v>
      </c>
      <c r="M8" s="80">
        <v>1.09416285162132</v>
      </c>
      <c r="N8" s="80">
        <v>0</v>
      </c>
      <c r="O8" s="80">
        <v>0</v>
      </c>
      <c r="P8" s="80">
        <v>0</v>
      </c>
      <c r="Q8" s="80">
        <v>78.498103350448801</v>
      </c>
      <c r="R8" s="80">
        <v>14.719053718324099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-1.36891761536974</v>
      </c>
      <c r="AC8" s="80">
        <v>0</v>
      </c>
      <c r="AD8" s="80">
        <v>4.1964292158504604</v>
      </c>
      <c r="AE8" s="80">
        <v>0</v>
      </c>
      <c r="AF8" s="80">
        <v>0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v>118.126291997118</v>
      </c>
      <c r="AN8" s="80">
        <v>0</v>
      </c>
      <c r="AO8" s="80">
        <v>0</v>
      </c>
      <c r="AP8" s="80">
        <v>0</v>
      </c>
      <c r="AQ8" s="80">
        <v>-1.69781440569409</v>
      </c>
      <c r="AR8" s="81">
        <v>0</v>
      </c>
    </row>
    <row r="9" spans="2:44" ht="12" customHeight="1" x14ac:dyDescent="0.25">
      <c r="B9" s="79" t="s">
        <v>39</v>
      </c>
      <c r="C9" s="80" t="s">
        <v>71</v>
      </c>
      <c r="D9" s="80" t="s">
        <v>25</v>
      </c>
      <c r="E9" s="80" t="s">
        <v>25</v>
      </c>
      <c r="F9" s="80" t="s">
        <v>25</v>
      </c>
      <c r="G9" s="80" t="s">
        <v>34</v>
      </c>
      <c r="H9" s="80" t="s">
        <v>72</v>
      </c>
      <c r="I9" s="80" t="s">
        <v>25</v>
      </c>
      <c r="J9" s="80">
        <v>78.81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33.422729912324797</v>
      </c>
      <c r="Y9" s="80">
        <v>0</v>
      </c>
      <c r="Z9" s="80">
        <v>0</v>
      </c>
      <c r="AA9" s="80">
        <v>46.827516447387801</v>
      </c>
      <c r="AB9" s="80">
        <v>-1.4443808675724801</v>
      </c>
      <c r="AC9" s="80">
        <v>0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O9" s="80">
        <v>0</v>
      </c>
      <c r="AP9" s="80">
        <v>0</v>
      </c>
      <c r="AQ9" s="80">
        <v>0</v>
      </c>
      <c r="AR9" s="81">
        <v>0</v>
      </c>
    </row>
    <row r="10" spans="2:44" ht="12" customHeight="1" x14ac:dyDescent="0.25">
      <c r="B10" s="79" t="s">
        <v>39</v>
      </c>
      <c r="C10" s="80" t="s">
        <v>71</v>
      </c>
      <c r="D10" s="80" t="s">
        <v>25</v>
      </c>
      <c r="E10" s="80" t="s">
        <v>25</v>
      </c>
      <c r="F10" s="80" t="s">
        <v>25</v>
      </c>
      <c r="G10" s="80" t="s">
        <v>35</v>
      </c>
      <c r="H10" s="80" t="s">
        <v>66</v>
      </c>
      <c r="I10" s="80" t="s">
        <v>25</v>
      </c>
      <c r="J10" s="80">
        <v>97.14</v>
      </c>
      <c r="K10" s="80">
        <v>116.43</v>
      </c>
      <c r="L10" s="80">
        <v>0</v>
      </c>
      <c r="M10" s="80">
        <v>1.09416285162132</v>
      </c>
      <c r="N10" s="80">
        <v>0</v>
      </c>
      <c r="O10" s="80">
        <v>0</v>
      </c>
      <c r="P10" s="80">
        <v>0</v>
      </c>
      <c r="Q10" s="80">
        <v>78.498103350448801</v>
      </c>
      <c r="R10" s="80">
        <v>14.719053718324099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-1.36891761536974</v>
      </c>
      <c r="AC10" s="80">
        <v>0</v>
      </c>
      <c r="AD10" s="80">
        <v>4.1964292158504604</v>
      </c>
      <c r="AE10" s="80">
        <v>0</v>
      </c>
      <c r="AF10" s="80">
        <v>0</v>
      </c>
      <c r="AG10" s="80">
        <v>0</v>
      </c>
      <c r="AH10" s="80">
        <v>0</v>
      </c>
      <c r="AI10" s="80">
        <v>0</v>
      </c>
      <c r="AJ10" s="80">
        <v>0</v>
      </c>
      <c r="AK10" s="80">
        <v>0</v>
      </c>
      <c r="AL10" s="80">
        <v>0</v>
      </c>
      <c r="AM10" s="80">
        <v>118.126291997118</v>
      </c>
      <c r="AN10" s="80">
        <v>0</v>
      </c>
      <c r="AO10" s="80">
        <v>0</v>
      </c>
      <c r="AP10" s="80">
        <v>0</v>
      </c>
      <c r="AQ10" s="80">
        <v>-1.69781440569409</v>
      </c>
      <c r="AR10" s="81">
        <v>0</v>
      </c>
    </row>
    <row r="11" spans="2:44" ht="12" customHeight="1" x14ac:dyDescent="0.25">
      <c r="B11" s="79" t="s">
        <v>39</v>
      </c>
      <c r="C11" s="80" t="s">
        <v>71</v>
      </c>
      <c r="D11" s="80" t="s">
        <v>25</v>
      </c>
      <c r="E11" s="80" t="s">
        <v>25</v>
      </c>
      <c r="F11" s="80" t="s">
        <v>25</v>
      </c>
      <c r="G11" s="80" t="s">
        <v>35</v>
      </c>
      <c r="H11" s="80" t="s">
        <v>72</v>
      </c>
      <c r="I11" s="80" t="s">
        <v>25</v>
      </c>
      <c r="J11" s="80">
        <v>37.700000000000003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16.805470897461198</v>
      </c>
      <c r="Y11" s="80">
        <v>0</v>
      </c>
      <c r="Z11" s="80">
        <v>0</v>
      </c>
      <c r="AA11" s="80">
        <v>21.5766867212458</v>
      </c>
      <c r="AB11" s="80">
        <v>-0.68626969305865104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  <c r="AH11" s="80">
        <v>0</v>
      </c>
      <c r="AI11" s="80">
        <v>0</v>
      </c>
      <c r="AJ11" s="80">
        <v>0</v>
      </c>
      <c r="AK11" s="80">
        <v>0</v>
      </c>
      <c r="AL11" s="80">
        <v>0</v>
      </c>
      <c r="AM11" s="80">
        <v>0</v>
      </c>
      <c r="AN11" s="80">
        <v>0</v>
      </c>
      <c r="AO11" s="80">
        <v>0</v>
      </c>
      <c r="AP11" s="80">
        <v>0</v>
      </c>
      <c r="AQ11" s="80">
        <v>0</v>
      </c>
      <c r="AR11" s="81">
        <v>0</v>
      </c>
    </row>
    <row r="12" spans="2:44" ht="12" customHeight="1" x14ac:dyDescent="0.25">
      <c r="B12" s="79" t="s">
        <v>39</v>
      </c>
      <c r="C12" s="80" t="s">
        <v>23</v>
      </c>
      <c r="D12" s="80" t="s">
        <v>25</v>
      </c>
      <c r="E12" s="80" t="s">
        <v>25</v>
      </c>
      <c r="F12" s="80" t="s">
        <v>25</v>
      </c>
      <c r="G12" s="80" t="s">
        <v>25</v>
      </c>
      <c r="H12" s="80" t="s">
        <v>66</v>
      </c>
      <c r="I12" s="80" t="s">
        <v>25</v>
      </c>
      <c r="J12" s="80">
        <v>0</v>
      </c>
      <c r="K12" s="80">
        <v>116.43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118.126291997118</v>
      </c>
      <c r="AN12" s="80">
        <v>0</v>
      </c>
      <c r="AO12" s="80">
        <v>0</v>
      </c>
      <c r="AP12" s="80">
        <v>0</v>
      </c>
      <c r="AQ12" s="80">
        <v>-1.69781440569409</v>
      </c>
      <c r="AR12" s="81">
        <v>0</v>
      </c>
    </row>
    <row r="13" spans="2:44" ht="12" customHeight="1" x14ac:dyDescent="0.25">
      <c r="B13" s="79" t="s">
        <v>39</v>
      </c>
      <c r="C13" s="80" t="s">
        <v>76</v>
      </c>
      <c r="D13" s="80" t="s">
        <v>25</v>
      </c>
      <c r="E13" s="80" t="s">
        <v>25</v>
      </c>
      <c r="F13" s="80" t="s">
        <v>25</v>
      </c>
      <c r="G13" s="80" t="s">
        <v>25</v>
      </c>
      <c r="H13" s="80" t="s">
        <v>72</v>
      </c>
      <c r="I13" s="80" t="s">
        <v>25</v>
      </c>
      <c r="J13" s="80">
        <v>10.96</v>
      </c>
      <c r="K13" s="80">
        <v>0</v>
      </c>
      <c r="L13" s="80">
        <v>0</v>
      </c>
      <c r="M13" s="80">
        <v>1.4229132989899499E-2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11.1779681986302</v>
      </c>
      <c r="AB13" s="80">
        <v>-0.227215001644547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1">
        <v>0</v>
      </c>
    </row>
    <row r="14" spans="2:44" ht="12" customHeight="1" x14ac:dyDescent="0.25">
      <c r="B14" s="79" t="s">
        <v>39</v>
      </c>
      <c r="C14" s="80" t="s">
        <v>40</v>
      </c>
      <c r="D14" s="80" t="s">
        <v>25</v>
      </c>
      <c r="E14" s="80" t="s">
        <v>25</v>
      </c>
      <c r="F14" s="80" t="s">
        <v>75</v>
      </c>
      <c r="G14" s="80" t="s">
        <v>34</v>
      </c>
      <c r="H14" s="80" t="s">
        <v>66</v>
      </c>
      <c r="I14" s="80" t="s">
        <v>25</v>
      </c>
      <c r="J14" s="80">
        <v>1900.57</v>
      </c>
      <c r="K14" s="80">
        <v>0</v>
      </c>
      <c r="L14" s="80">
        <v>0</v>
      </c>
      <c r="M14" s="80">
        <v>1.09416285162132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803.89939743905302</v>
      </c>
      <c r="Y14" s="80">
        <v>0</v>
      </c>
      <c r="Z14" s="80">
        <v>0</v>
      </c>
      <c r="AA14" s="80">
        <v>1126.1983890952899</v>
      </c>
      <c r="AB14" s="80">
        <v>-34.8139943819778</v>
      </c>
      <c r="AC14" s="80">
        <v>0</v>
      </c>
      <c r="AD14" s="80">
        <v>4.1964292158504604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1">
        <v>0</v>
      </c>
    </row>
    <row r="15" spans="2:44" ht="12" customHeight="1" x14ac:dyDescent="0.25">
      <c r="B15" s="79" t="s">
        <v>39</v>
      </c>
      <c r="C15" s="80" t="s">
        <v>40</v>
      </c>
      <c r="D15" s="80" t="s">
        <v>25</v>
      </c>
      <c r="E15" s="80" t="s">
        <v>25</v>
      </c>
      <c r="F15" s="80" t="s">
        <v>75</v>
      </c>
      <c r="G15" s="80" t="s">
        <v>25</v>
      </c>
      <c r="H15" s="80" t="s">
        <v>72</v>
      </c>
      <c r="I15" s="80" t="s">
        <v>25</v>
      </c>
      <c r="J15" s="80">
        <v>37.700000000000003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16.805470897461198</v>
      </c>
      <c r="Y15" s="80">
        <v>0</v>
      </c>
      <c r="Z15" s="80">
        <v>0</v>
      </c>
      <c r="AA15" s="80">
        <v>21.5766867212458</v>
      </c>
      <c r="AB15" s="80">
        <v>-0.68626969305865104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1">
        <v>0</v>
      </c>
    </row>
    <row r="16" spans="2:44" ht="12" customHeight="1" x14ac:dyDescent="0.25">
      <c r="B16" s="79" t="s">
        <v>39</v>
      </c>
      <c r="C16" s="80" t="s">
        <v>40</v>
      </c>
      <c r="D16" s="80" t="s">
        <v>25</v>
      </c>
      <c r="E16" s="80" t="s">
        <v>25</v>
      </c>
      <c r="F16" s="80" t="s">
        <v>75</v>
      </c>
      <c r="G16" s="80" t="s">
        <v>35</v>
      </c>
      <c r="H16" s="80" t="s">
        <v>66</v>
      </c>
      <c r="I16" s="80" t="s">
        <v>25</v>
      </c>
      <c r="J16" s="80">
        <v>5.22</v>
      </c>
      <c r="K16" s="80">
        <v>0</v>
      </c>
      <c r="L16" s="80">
        <v>0</v>
      </c>
      <c r="M16" s="80">
        <v>1.09416285162132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-7.5481848290659598E-2</v>
      </c>
      <c r="AC16" s="80">
        <v>0</v>
      </c>
      <c r="AD16" s="80">
        <v>4.1964292158504604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1">
        <v>0</v>
      </c>
    </row>
    <row r="17" spans="2:44" ht="12" customHeight="1" x14ac:dyDescent="0.25">
      <c r="B17" s="79" t="s">
        <v>39</v>
      </c>
      <c r="C17" s="80" t="s">
        <v>40</v>
      </c>
      <c r="D17" s="80" t="s">
        <v>25</v>
      </c>
      <c r="E17" s="80" t="s">
        <v>25</v>
      </c>
      <c r="F17" s="80" t="s">
        <v>25</v>
      </c>
      <c r="G17" s="80" t="s">
        <v>34</v>
      </c>
      <c r="H17" s="80" t="s">
        <v>66</v>
      </c>
      <c r="I17" s="80" t="s">
        <v>25</v>
      </c>
      <c r="J17" s="80">
        <v>1992.5</v>
      </c>
      <c r="K17" s="80">
        <v>116.43</v>
      </c>
      <c r="L17" s="80">
        <v>0</v>
      </c>
      <c r="M17" s="80">
        <v>1.09416285162132</v>
      </c>
      <c r="N17" s="80">
        <v>0</v>
      </c>
      <c r="O17" s="80">
        <v>0</v>
      </c>
      <c r="P17" s="80">
        <v>0</v>
      </c>
      <c r="Q17" s="80">
        <v>78.498103350448801</v>
      </c>
      <c r="R17" s="80">
        <v>14.719053718324099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803.89939743905302</v>
      </c>
      <c r="Y17" s="80">
        <v>0</v>
      </c>
      <c r="Z17" s="80">
        <v>0</v>
      </c>
      <c r="AA17" s="80">
        <v>1126.1983890952899</v>
      </c>
      <c r="AB17" s="80">
        <v>-36.107430149056903</v>
      </c>
      <c r="AC17" s="80">
        <v>0</v>
      </c>
      <c r="AD17" s="80">
        <v>4.1964292158504604</v>
      </c>
      <c r="AE17" s="80">
        <v>0</v>
      </c>
      <c r="AF17" s="80">
        <v>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118.126291997118</v>
      </c>
      <c r="AN17" s="80">
        <v>0</v>
      </c>
      <c r="AO17" s="80">
        <v>0</v>
      </c>
      <c r="AP17" s="80">
        <v>0</v>
      </c>
      <c r="AQ17" s="80">
        <v>-1.69781440569409</v>
      </c>
      <c r="AR17" s="81">
        <v>0</v>
      </c>
    </row>
    <row r="18" spans="2:44" ht="12" customHeight="1" x14ac:dyDescent="0.25">
      <c r="B18" s="79" t="s">
        <v>39</v>
      </c>
      <c r="C18" s="80" t="s">
        <v>40</v>
      </c>
      <c r="D18" s="80" t="s">
        <v>25</v>
      </c>
      <c r="E18" s="80" t="s">
        <v>25</v>
      </c>
      <c r="F18" s="80" t="s">
        <v>25</v>
      </c>
      <c r="G18" s="80" t="s">
        <v>25</v>
      </c>
      <c r="H18" s="80" t="s">
        <v>72</v>
      </c>
      <c r="I18" s="80" t="s">
        <v>25</v>
      </c>
      <c r="J18" s="80">
        <v>37.700000000000003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16.805470897461198</v>
      </c>
      <c r="Y18" s="80">
        <v>0</v>
      </c>
      <c r="Z18" s="80">
        <v>0</v>
      </c>
      <c r="AA18" s="80">
        <v>21.5766867212458</v>
      </c>
      <c r="AB18" s="80">
        <v>-0.68626969305865104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81">
        <v>0</v>
      </c>
    </row>
    <row r="19" spans="2:44" ht="12" customHeight="1" x14ac:dyDescent="0.25">
      <c r="B19" s="79" t="s">
        <v>39</v>
      </c>
      <c r="C19" s="80" t="s">
        <v>40</v>
      </c>
      <c r="D19" s="80" t="s">
        <v>25</v>
      </c>
      <c r="E19" s="80" t="s">
        <v>25</v>
      </c>
      <c r="F19" s="80" t="s">
        <v>25</v>
      </c>
      <c r="G19" s="80" t="s">
        <v>35</v>
      </c>
      <c r="H19" s="80" t="s">
        <v>66</v>
      </c>
      <c r="I19" s="80" t="s">
        <v>25</v>
      </c>
      <c r="J19" s="80">
        <v>97.14</v>
      </c>
      <c r="K19" s="80">
        <v>116.43</v>
      </c>
      <c r="L19" s="80">
        <v>0</v>
      </c>
      <c r="M19" s="80">
        <v>1.09416285162132</v>
      </c>
      <c r="N19" s="80">
        <v>0</v>
      </c>
      <c r="O19" s="80">
        <v>0</v>
      </c>
      <c r="P19" s="80">
        <v>0</v>
      </c>
      <c r="Q19" s="80">
        <v>78.498103350448801</v>
      </c>
      <c r="R19" s="80">
        <v>14.719053718324099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-1.36891761536974</v>
      </c>
      <c r="AC19" s="80">
        <v>0</v>
      </c>
      <c r="AD19" s="80">
        <v>4.1964292158504604</v>
      </c>
      <c r="AE19" s="80">
        <v>0</v>
      </c>
      <c r="AF19" s="80">
        <v>0</v>
      </c>
      <c r="AG19" s="80">
        <v>0</v>
      </c>
      <c r="AH19" s="80">
        <v>0</v>
      </c>
      <c r="AI19" s="80">
        <v>0</v>
      </c>
      <c r="AJ19" s="80">
        <v>0</v>
      </c>
      <c r="AK19" s="80">
        <v>0</v>
      </c>
      <c r="AL19" s="80">
        <v>0</v>
      </c>
      <c r="AM19" s="80">
        <v>118.126291997118</v>
      </c>
      <c r="AN19" s="80">
        <v>0</v>
      </c>
      <c r="AO19" s="80">
        <v>0</v>
      </c>
      <c r="AP19" s="80">
        <v>0</v>
      </c>
      <c r="AQ19" s="80">
        <v>-1.69781440569409</v>
      </c>
      <c r="AR19" s="81">
        <v>0</v>
      </c>
    </row>
    <row r="20" spans="2:44" ht="12" customHeight="1" x14ac:dyDescent="0.25">
      <c r="B20" s="79" t="s">
        <v>77</v>
      </c>
      <c r="C20" s="80" t="s">
        <v>76</v>
      </c>
      <c r="D20" s="80" t="s">
        <v>25</v>
      </c>
      <c r="E20" s="80" t="s">
        <v>25</v>
      </c>
      <c r="F20" s="80" t="s">
        <v>78</v>
      </c>
      <c r="G20" s="80" t="s">
        <v>25</v>
      </c>
      <c r="H20" s="80" t="s">
        <v>72</v>
      </c>
      <c r="I20" s="80" t="s">
        <v>25</v>
      </c>
      <c r="J20" s="80">
        <v>4.33</v>
      </c>
      <c r="K20" s="80">
        <v>0</v>
      </c>
      <c r="L20" s="80">
        <v>0</v>
      </c>
      <c r="M20" s="80">
        <v>5.6498028048130198E-3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4.4161843062033102</v>
      </c>
      <c r="AB20" s="80">
        <v>-8.9768343482038895E-2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81">
        <v>0</v>
      </c>
    </row>
    <row r="21" spans="2:44" ht="12" customHeight="1" x14ac:dyDescent="0.25">
      <c r="B21" s="79" t="s">
        <v>77</v>
      </c>
      <c r="C21" s="80" t="s">
        <v>76</v>
      </c>
      <c r="D21" s="80" t="s">
        <v>25</v>
      </c>
      <c r="E21" s="80" t="s">
        <v>25</v>
      </c>
      <c r="F21" s="80" t="s">
        <v>79</v>
      </c>
      <c r="G21" s="80" t="s">
        <v>25</v>
      </c>
      <c r="H21" s="80" t="s">
        <v>72</v>
      </c>
      <c r="I21" s="80" t="s">
        <v>25</v>
      </c>
      <c r="J21" s="80">
        <v>19.399999999999999</v>
      </c>
      <c r="K21" s="80">
        <v>0</v>
      </c>
      <c r="L21" s="80">
        <v>0</v>
      </c>
      <c r="M21" s="80">
        <v>5.6498028048130198E-3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19.796817983869801</v>
      </c>
      <c r="AB21" s="80">
        <v>-0.40213969225288498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0</v>
      </c>
      <c r="AM21" s="80">
        <v>0</v>
      </c>
      <c r="AN21" s="80">
        <v>0</v>
      </c>
      <c r="AO21" s="80">
        <v>0</v>
      </c>
      <c r="AP21" s="80">
        <v>0</v>
      </c>
      <c r="AQ21" s="80">
        <v>0</v>
      </c>
      <c r="AR21" s="81">
        <v>0</v>
      </c>
    </row>
    <row r="22" spans="2:44" ht="12" customHeight="1" x14ac:dyDescent="0.25">
      <c r="B22" s="79" t="s">
        <v>22</v>
      </c>
      <c r="C22" s="80" t="s">
        <v>33</v>
      </c>
      <c r="D22" s="80" t="s">
        <v>24</v>
      </c>
      <c r="E22" s="80" t="s">
        <v>24</v>
      </c>
      <c r="F22" s="80" t="s">
        <v>25</v>
      </c>
      <c r="G22" s="80" t="s">
        <v>34</v>
      </c>
      <c r="H22" s="80" t="s">
        <v>66</v>
      </c>
      <c r="I22" s="80" t="s">
        <v>25</v>
      </c>
      <c r="J22" s="80">
        <v>1689.48</v>
      </c>
      <c r="K22" s="80">
        <v>116.43</v>
      </c>
      <c r="L22" s="80">
        <v>0</v>
      </c>
      <c r="M22" s="80">
        <v>2.8225399242690199</v>
      </c>
      <c r="N22" s="80">
        <v>0</v>
      </c>
      <c r="O22" s="80">
        <v>0</v>
      </c>
      <c r="P22" s="80">
        <v>0</v>
      </c>
      <c r="Q22" s="80">
        <v>93.450123036248499</v>
      </c>
      <c r="R22" s="80">
        <v>14.719053718324099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404.52067303580998</v>
      </c>
      <c r="Y22" s="80">
        <v>0</v>
      </c>
      <c r="Z22" s="80">
        <v>0</v>
      </c>
      <c r="AA22" s="80">
        <v>1181.41529005445</v>
      </c>
      <c r="AB22" s="80">
        <v>-31.855568870609702</v>
      </c>
      <c r="AC22" s="80">
        <v>0</v>
      </c>
      <c r="AD22" s="80">
        <v>24.409547874662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118.126291997118</v>
      </c>
      <c r="AN22" s="80">
        <v>0</v>
      </c>
      <c r="AO22" s="80">
        <v>0</v>
      </c>
      <c r="AP22" s="80">
        <v>0</v>
      </c>
      <c r="AQ22" s="80">
        <v>-1.69781440569409</v>
      </c>
      <c r="AR22" s="81">
        <v>0</v>
      </c>
    </row>
    <row r="23" spans="2:44" ht="12" customHeight="1" x14ac:dyDescent="0.25">
      <c r="B23" s="79" t="s">
        <v>22</v>
      </c>
      <c r="C23" s="80" t="s">
        <v>33</v>
      </c>
      <c r="D23" s="80" t="s">
        <v>24</v>
      </c>
      <c r="E23" s="80" t="s">
        <v>24</v>
      </c>
      <c r="F23" s="80" t="s">
        <v>25</v>
      </c>
      <c r="G23" s="80" t="s">
        <v>36</v>
      </c>
      <c r="H23" s="80" t="s">
        <v>66</v>
      </c>
      <c r="I23" s="80" t="s">
        <v>25</v>
      </c>
      <c r="J23" s="80">
        <v>1067.06</v>
      </c>
      <c r="K23" s="80">
        <v>116.43</v>
      </c>
      <c r="L23" s="80">
        <v>0</v>
      </c>
      <c r="M23" s="80">
        <v>2.8225399242690199</v>
      </c>
      <c r="N23" s="80">
        <v>0</v>
      </c>
      <c r="O23" s="80">
        <v>0</v>
      </c>
      <c r="P23" s="80">
        <v>0</v>
      </c>
      <c r="Q23" s="80">
        <v>93.450123036248499</v>
      </c>
      <c r="R23" s="80">
        <v>14.719053718324099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242.67478696522201</v>
      </c>
      <c r="Y23" s="80">
        <v>0</v>
      </c>
      <c r="Z23" s="80">
        <v>0</v>
      </c>
      <c r="AA23" s="80">
        <v>708.84905954536396</v>
      </c>
      <c r="AB23" s="80">
        <v>-19.869078980246101</v>
      </c>
      <c r="AC23" s="80">
        <v>0</v>
      </c>
      <c r="AD23" s="80">
        <v>24.409547874662</v>
      </c>
      <c r="AE23" s="80">
        <v>0</v>
      </c>
      <c r="AF23" s="80">
        <v>0</v>
      </c>
      <c r="AG23" s="80">
        <v>0</v>
      </c>
      <c r="AH23" s="80">
        <v>0</v>
      </c>
      <c r="AI23" s="80">
        <v>0</v>
      </c>
      <c r="AJ23" s="80">
        <v>0</v>
      </c>
      <c r="AK23" s="80">
        <v>0</v>
      </c>
      <c r="AL23" s="80">
        <v>0</v>
      </c>
      <c r="AM23" s="80">
        <v>118.126291997118</v>
      </c>
      <c r="AN23" s="80">
        <v>0</v>
      </c>
      <c r="AO23" s="80">
        <v>0</v>
      </c>
      <c r="AP23" s="80">
        <v>0</v>
      </c>
      <c r="AQ23" s="80">
        <v>-1.69781440569409</v>
      </c>
      <c r="AR23" s="81">
        <v>0</v>
      </c>
    </row>
    <row r="24" spans="2:44" ht="12" customHeight="1" x14ac:dyDescent="0.25">
      <c r="B24" s="79" t="s">
        <v>22</v>
      </c>
      <c r="C24" s="80" t="s">
        <v>33</v>
      </c>
      <c r="D24" s="80" t="s">
        <v>24</v>
      </c>
      <c r="E24" s="80" t="s">
        <v>24</v>
      </c>
      <c r="F24" s="80" t="s">
        <v>25</v>
      </c>
      <c r="G24" s="80" t="s">
        <v>35</v>
      </c>
      <c r="H24" s="80" t="s">
        <v>66</v>
      </c>
      <c r="I24" s="80" t="s">
        <v>25</v>
      </c>
      <c r="J24" s="80">
        <v>444.69</v>
      </c>
      <c r="K24" s="80">
        <v>116.43</v>
      </c>
      <c r="L24" s="80">
        <v>0</v>
      </c>
      <c r="M24" s="80">
        <v>2.8225399242690199</v>
      </c>
      <c r="N24" s="80">
        <v>0</v>
      </c>
      <c r="O24" s="80">
        <v>0</v>
      </c>
      <c r="P24" s="80">
        <v>0</v>
      </c>
      <c r="Q24" s="80">
        <v>93.450123036248499</v>
      </c>
      <c r="R24" s="80">
        <v>14.719053718324099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80.891553121315198</v>
      </c>
      <c r="Y24" s="80">
        <v>0</v>
      </c>
      <c r="Z24" s="80">
        <v>0</v>
      </c>
      <c r="AA24" s="80">
        <v>236.282910812925</v>
      </c>
      <c r="AB24" s="80">
        <v>-7.88351554049855</v>
      </c>
      <c r="AC24" s="80">
        <v>0</v>
      </c>
      <c r="AD24" s="80">
        <v>24.409547874662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118.126291997118</v>
      </c>
      <c r="AN24" s="80">
        <v>0</v>
      </c>
      <c r="AO24" s="80">
        <v>0</v>
      </c>
      <c r="AP24" s="80">
        <v>0</v>
      </c>
      <c r="AQ24" s="80">
        <v>-1.69781440569409</v>
      </c>
      <c r="AR24" s="81">
        <v>0</v>
      </c>
    </row>
    <row r="25" spans="2:44" ht="12" customHeight="1" x14ac:dyDescent="0.25">
      <c r="B25" s="79" t="s">
        <v>22</v>
      </c>
      <c r="C25" s="80" t="s">
        <v>23</v>
      </c>
      <c r="D25" s="80" t="s">
        <v>24</v>
      </c>
      <c r="E25" s="80" t="s">
        <v>1069</v>
      </c>
      <c r="F25" s="80" t="s">
        <v>25</v>
      </c>
      <c r="G25" s="80" t="s">
        <v>25</v>
      </c>
      <c r="H25" s="80" t="s">
        <v>66</v>
      </c>
      <c r="I25" s="80" t="s">
        <v>25</v>
      </c>
      <c r="J25" s="80">
        <v>563.41999999999996</v>
      </c>
      <c r="K25" s="80">
        <v>116.43</v>
      </c>
      <c r="L25" s="80">
        <v>0</v>
      </c>
      <c r="M25" s="80">
        <v>2.8225399242690199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  <c r="X25" s="80">
        <v>139.52242557919399</v>
      </c>
      <c r="Y25" s="80">
        <v>0</v>
      </c>
      <c r="Z25" s="80">
        <v>0</v>
      </c>
      <c r="AA25" s="80">
        <v>407.384517920056</v>
      </c>
      <c r="AB25" s="80">
        <v>-10.7231401787216</v>
      </c>
      <c r="AC25" s="80">
        <v>0</v>
      </c>
      <c r="AD25" s="80">
        <v>24.409547874662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0</v>
      </c>
      <c r="AK25" s="80">
        <v>0</v>
      </c>
      <c r="AL25" s="80">
        <v>0</v>
      </c>
      <c r="AM25" s="80">
        <v>118.126291997118</v>
      </c>
      <c r="AN25" s="80">
        <v>0</v>
      </c>
      <c r="AO25" s="80">
        <v>0</v>
      </c>
      <c r="AP25" s="80">
        <v>0</v>
      </c>
      <c r="AQ25" s="80">
        <v>-1.69781440569409</v>
      </c>
      <c r="AR25" s="81">
        <v>0</v>
      </c>
    </row>
    <row r="26" spans="2:44" ht="12" customHeight="1" x14ac:dyDescent="0.25">
      <c r="B26" s="79" t="s">
        <v>22</v>
      </c>
      <c r="C26" s="80" t="s">
        <v>23</v>
      </c>
      <c r="D26" s="80" t="s">
        <v>24</v>
      </c>
      <c r="E26" s="80" t="s">
        <v>24</v>
      </c>
      <c r="F26" s="80" t="s">
        <v>25</v>
      </c>
      <c r="G26" s="80" t="s">
        <v>25</v>
      </c>
      <c r="H26" s="80" t="s">
        <v>66</v>
      </c>
      <c r="I26" s="80" t="s">
        <v>25</v>
      </c>
      <c r="J26" s="80">
        <v>670.08</v>
      </c>
      <c r="K26" s="80">
        <v>116.43</v>
      </c>
      <c r="L26" s="80">
        <v>0</v>
      </c>
      <c r="M26" s="80">
        <v>2.8225399242690199</v>
      </c>
      <c r="N26" s="80">
        <v>0</v>
      </c>
      <c r="O26" s="80">
        <v>0</v>
      </c>
      <c r="P26" s="80">
        <v>0</v>
      </c>
      <c r="Q26" s="80">
        <v>93.450123036248499</v>
      </c>
      <c r="R26" s="80">
        <v>14.719053718324099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139.52242557919399</v>
      </c>
      <c r="Y26" s="80">
        <v>0</v>
      </c>
      <c r="Z26" s="80">
        <v>0</v>
      </c>
      <c r="AA26" s="80">
        <v>407.384517920056</v>
      </c>
      <c r="AB26" s="80">
        <v>-12.2239173260261</v>
      </c>
      <c r="AC26" s="80">
        <v>0</v>
      </c>
      <c r="AD26" s="80">
        <v>24.409547874662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118.126291997118</v>
      </c>
      <c r="AN26" s="80">
        <v>0</v>
      </c>
      <c r="AO26" s="80">
        <v>0</v>
      </c>
      <c r="AP26" s="80">
        <v>0</v>
      </c>
      <c r="AQ26" s="80">
        <v>-1.69781440569409</v>
      </c>
      <c r="AR26" s="81">
        <v>0</v>
      </c>
    </row>
    <row r="27" spans="2:44" ht="12" customHeight="1" x14ac:dyDescent="0.25">
      <c r="B27" s="79" t="s">
        <v>22</v>
      </c>
      <c r="C27" s="80" t="s">
        <v>82</v>
      </c>
      <c r="D27" s="80" t="s">
        <v>24</v>
      </c>
      <c r="E27" s="80" t="s">
        <v>1069</v>
      </c>
      <c r="F27" s="80" t="s">
        <v>25</v>
      </c>
      <c r="G27" s="80" t="s">
        <v>25</v>
      </c>
      <c r="H27" s="80" t="s">
        <v>66</v>
      </c>
      <c r="I27" s="80" t="s">
        <v>25</v>
      </c>
      <c r="J27" s="80">
        <v>563.41999999999996</v>
      </c>
      <c r="K27" s="80">
        <v>116.43</v>
      </c>
      <c r="L27" s="80">
        <v>0</v>
      </c>
      <c r="M27" s="80">
        <v>2.8225399242690199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139.52242557919399</v>
      </c>
      <c r="Y27" s="80">
        <v>0</v>
      </c>
      <c r="Z27" s="80">
        <v>0</v>
      </c>
      <c r="AA27" s="80">
        <v>407.384517920056</v>
      </c>
      <c r="AB27" s="80">
        <v>-10.7231401787216</v>
      </c>
      <c r="AC27" s="80">
        <v>0</v>
      </c>
      <c r="AD27" s="80">
        <v>24.409547874662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118.126291997118</v>
      </c>
      <c r="AN27" s="80">
        <v>0</v>
      </c>
      <c r="AO27" s="80">
        <v>0</v>
      </c>
      <c r="AP27" s="80">
        <v>0</v>
      </c>
      <c r="AQ27" s="80">
        <v>-1.69781440569409</v>
      </c>
      <c r="AR27" s="81">
        <v>0</v>
      </c>
    </row>
    <row r="28" spans="2:44" ht="12" customHeight="1" x14ac:dyDescent="0.25">
      <c r="B28" s="79" t="s">
        <v>22</v>
      </c>
      <c r="C28" s="80" t="s">
        <v>82</v>
      </c>
      <c r="D28" s="80" t="s">
        <v>24</v>
      </c>
      <c r="E28" s="80" t="s">
        <v>24</v>
      </c>
      <c r="F28" s="80" t="s">
        <v>25</v>
      </c>
      <c r="G28" s="80" t="s">
        <v>25</v>
      </c>
      <c r="H28" s="80" t="s">
        <v>66</v>
      </c>
      <c r="I28" s="80" t="s">
        <v>25</v>
      </c>
      <c r="J28" s="80">
        <v>670.08</v>
      </c>
      <c r="K28" s="80">
        <v>116.43</v>
      </c>
      <c r="L28" s="80">
        <v>0</v>
      </c>
      <c r="M28" s="80">
        <v>2.8225399242690199</v>
      </c>
      <c r="N28" s="80">
        <v>0</v>
      </c>
      <c r="O28" s="80">
        <v>0</v>
      </c>
      <c r="P28" s="80">
        <v>0</v>
      </c>
      <c r="Q28" s="80">
        <v>93.450123036248499</v>
      </c>
      <c r="R28" s="80">
        <v>14.719053718324099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139.52242557919399</v>
      </c>
      <c r="Y28" s="80">
        <v>0</v>
      </c>
      <c r="Z28" s="80">
        <v>0</v>
      </c>
      <c r="AA28" s="80">
        <v>407.384517920056</v>
      </c>
      <c r="AB28" s="80">
        <v>-12.2239173260261</v>
      </c>
      <c r="AC28" s="80">
        <v>0</v>
      </c>
      <c r="AD28" s="80">
        <v>24.409547874662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118.126291997118</v>
      </c>
      <c r="AN28" s="80">
        <v>0</v>
      </c>
      <c r="AO28" s="80">
        <v>0</v>
      </c>
      <c r="AP28" s="80">
        <v>0</v>
      </c>
      <c r="AQ28" s="80">
        <v>-1.69781440569409</v>
      </c>
      <c r="AR28" s="81">
        <v>0</v>
      </c>
    </row>
    <row r="29" spans="2:44" ht="12" customHeight="1" x14ac:dyDescent="0.25">
      <c r="B29" s="79" t="s">
        <v>41</v>
      </c>
      <c r="C29" s="80" t="s">
        <v>33</v>
      </c>
      <c r="D29" s="80" t="s">
        <v>42</v>
      </c>
      <c r="E29" s="80" t="s">
        <v>83</v>
      </c>
      <c r="F29" s="80" t="s">
        <v>25</v>
      </c>
      <c r="G29" s="80" t="s">
        <v>34</v>
      </c>
      <c r="H29" s="80" t="s">
        <v>66</v>
      </c>
      <c r="I29" s="80" t="s">
        <v>25</v>
      </c>
      <c r="J29" s="80">
        <v>1840.27</v>
      </c>
      <c r="K29" s="80">
        <v>109.44</v>
      </c>
      <c r="L29" s="80">
        <v>0</v>
      </c>
      <c r="M29" s="80">
        <v>2.6531875288128699</v>
      </c>
      <c r="N29" s="80">
        <v>0</v>
      </c>
      <c r="O29" s="80">
        <v>0</v>
      </c>
      <c r="P29" s="80">
        <v>0</v>
      </c>
      <c r="Q29" s="80">
        <v>87.8431156540736</v>
      </c>
      <c r="R29" s="80">
        <v>13.835910495224701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445.79552612934202</v>
      </c>
      <c r="Y29" s="80">
        <v>0</v>
      </c>
      <c r="Z29" s="80">
        <v>0</v>
      </c>
      <c r="AA29" s="80">
        <v>1302.00113450864</v>
      </c>
      <c r="AB29" s="80">
        <v>-34.800395111503903</v>
      </c>
      <c r="AC29" s="80">
        <v>0</v>
      </c>
      <c r="AD29" s="80">
        <v>22.9449750021823</v>
      </c>
      <c r="AE29" s="80">
        <v>0</v>
      </c>
      <c r="AF29" s="80">
        <v>0</v>
      </c>
      <c r="AG29" s="80">
        <v>0</v>
      </c>
      <c r="AH29" s="80">
        <v>0</v>
      </c>
      <c r="AI29" s="80">
        <v>0</v>
      </c>
      <c r="AJ29" s="80">
        <v>0</v>
      </c>
      <c r="AK29" s="80">
        <v>0</v>
      </c>
      <c r="AL29" s="80">
        <v>0</v>
      </c>
      <c r="AM29" s="80">
        <v>111.03871447729099</v>
      </c>
      <c r="AN29" s="80">
        <v>0</v>
      </c>
      <c r="AO29" s="80">
        <v>0</v>
      </c>
      <c r="AP29" s="80">
        <v>0</v>
      </c>
      <c r="AQ29" s="80">
        <v>-1.5959455413524399</v>
      </c>
      <c r="AR29" s="81">
        <v>0</v>
      </c>
    </row>
    <row r="30" spans="2:44" ht="12" customHeight="1" x14ac:dyDescent="0.25">
      <c r="B30" s="79" t="s">
        <v>41</v>
      </c>
      <c r="C30" s="80" t="s">
        <v>33</v>
      </c>
      <c r="D30" s="80" t="s">
        <v>42</v>
      </c>
      <c r="E30" s="80" t="s">
        <v>83</v>
      </c>
      <c r="F30" s="80" t="s">
        <v>25</v>
      </c>
      <c r="G30" s="80" t="s">
        <v>36</v>
      </c>
      <c r="H30" s="80" t="s">
        <v>66</v>
      </c>
      <c r="I30" s="80" t="s">
        <v>25</v>
      </c>
      <c r="J30" s="80">
        <v>1154.3800000000001</v>
      </c>
      <c r="K30" s="80">
        <v>109.44</v>
      </c>
      <c r="L30" s="80">
        <v>0</v>
      </c>
      <c r="M30" s="80">
        <v>2.6531875288128699</v>
      </c>
      <c r="N30" s="80">
        <v>0</v>
      </c>
      <c r="O30" s="80">
        <v>0</v>
      </c>
      <c r="P30" s="80">
        <v>0</v>
      </c>
      <c r="Q30" s="80">
        <v>87.8431156540736</v>
      </c>
      <c r="R30" s="80">
        <v>13.835910495224701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267.48907030718198</v>
      </c>
      <c r="Y30" s="80">
        <v>0</v>
      </c>
      <c r="Z30" s="80">
        <v>0</v>
      </c>
      <c r="AA30" s="80">
        <v>781.20048084305404</v>
      </c>
      <c r="AB30" s="80">
        <v>-21.591324033804899</v>
      </c>
      <c r="AC30" s="80">
        <v>0</v>
      </c>
      <c r="AD30" s="80">
        <v>22.9449750021823</v>
      </c>
      <c r="AE30" s="80">
        <v>0</v>
      </c>
      <c r="AF30" s="80">
        <v>0</v>
      </c>
      <c r="AG30" s="80">
        <v>0</v>
      </c>
      <c r="AH30" s="80">
        <v>0</v>
      </c>
      <c r="AI30" s="80">
        <v>0</v>
      </c>
      <c r="AJ30" s="80">
        <v>0</v>
      </c>
      <c r="AK30" s="80">
        <v>0</v>
      </c>
      <c r="AL30" s="80">
        <v>0</v>
      </c>
      <c r="AM30" s="80">
        <v>111.03871447729099</v>
      </c>
      <c r="AN30" s="80">
        <v>0</v>
      </c>
      <c r="AO30" s="80">
        <v>0</v>
      </c>
      <c r="AP30" s="80">
        <v>0</v>
      </c>
      <c r="AQ30" s="80">
        <v>-1.5959455413524399</v>
      </c>
      <c r="AR30" s="81">
        <v>0</v>
      </c>
    </row>
    <row r="31" spans="2:44" ht="12" customHeight="1" x14ac:dyDescent="0.25">
      <c r="B31" s="79" t="s">
        <v>41</v>
      </c>
      <c r="C31" s="80" t="s">
        <v>33</v>
      </c>
      <c r="D31" s="80" t="s">
        <v>42</v>
      </c>
      <c r="E31" s="80" t="s">
        <v>83</v>
      </c>
      <c r="F31" s="80" t="s">
        <v>25</v>
      </c>
      <c r="G31" s="80" t="s">
        <v>35</v>
      </c>
      <c r="H31" s="80" t="s">
        <v>66</v>
      </c>
      <c r="I31" s="80" t="s">
        <v>25</v>
      </c>
      <c r="J31" s="80">
        <v>468.48</v>
      </c>
      <c r="K31" s="80">
        <v>109.44</v>
      </c>
      <c r="L31" s="80">
        <v>0</v>
      </c>
      <c r="M31" s="80">
        <v>2.6531875288128699</v>
      </c>
      <c r="N31" s="80">
        <v>0</v>
      </c>
      <c r="O31" s="80">
        <v>0</v>
      </c>
      <c r="P31" s="80">
        <v>0</v>
      </c>
      <c r="Q31" s="80">
        <v>87.8431156540736</v>
      </c>
      <c r="R31" s="80">
        <v>13.835910495224701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89.182614485020906</v>
      </c>
      <c r="Y31" s="80">
        <v>0</v>
      </c>
      <c r="Z31" s="80">
        <v>0</v>
      </c>
      <c r="AA31" s="80">
        <v>260.40028839776602</v>
      </c>
      <c r="AB31" s="80">
        <v>-8.3822623232104494</v>
      </c>
      <c r="AC31" s="80">
        <v>0</v>
      </c>
      <c r="AD31" s="80">
        <v>22.9449750021823</v>
      </c>
      <c r="AE31" s="80">
        <v>0</v>
      </c>
      <c r="AF31" s="80">
        <v>0</v>
      </c>
      <c r="AG31" s="80">
        <v>0</v>
      </c>
      <c r="AH31" s="80">
        <v>0</v>
      </c>
      <c r="AI31" s="80">
        <v>0</v>
      </c>
      <c r="AJ31" s="80">
        <v>0</v>
      </c>
      <c r="AK31" s="80">
        <v>0</v>
      </c>
      <c r="AL31" s="80">
        <v>0</v>
      </c>
      <c r="AM31" s="80">
        <v>111.03871447729099</v>
      </c>
      <c r="AN31" s="80">
        <v>0</v>
      </c>
      <c r="AO31" s="80">
        <v>0</v>
      </c>
      <c r="AP31" s="80">
        <v>0</v>
      </c>
      <c r="AQ31" s="80">
        <v>-1.5959455413524399</v>
      </c>
      <c r="AR31" s="81">
        <v>0</v>
      </c>
    </row>
    <row r="32" spans="2:44" ht="12" customHeight="1" x14ac:dyDescent="0.25">
      <c r="B32" s="79" t="s">
        <v>41</v>
      </c>
      <c r="C32" s="80" t="s">
        <v>33</v>
      </c>
      <c r="D32" s="80" t="s">
        <v>42</v>
      </c>
      <c r="E32" s="80" t="s">
        <v>25</v>
      </c>
      <c r="F32" s="80" t="s">
        <v>25</v>
      </c>
      <c r="G32" s="80" t="s">
        <v>34</v>
      </c>
      <c r="H32" s="80" t="s">
        <v>66</v>
      </c>
      <c r="I32" s="80" t="s">
        <v>25</v>
      </c>
      <c r="J32" s="80">
        <v>1840.27</v>
      </c>
      <c r="K32" s="80">
        <v>109.44</v>
      </c>
      <c r="L32" s="80">
        <v>0</v>
      </c>
      <c r="M32" s="80">
        <v>2.6531875288128699</v>
      </c>
      <c r="N32" s="80">
        <v>0</v>
      </c>
      <c r="O32" s="80">
        <v>0</v>
      </c>
      <c r="P32" s="80">
        <v>0</v>
      </c>
      <c r="Q32" s="80">
        <v>87.8431156540736</v>
      </c>
      <c r="R32" s="80">
        <v>13.835910495224701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445.79552612934202</v>
      </c>
      <c r="Y32" s="80">
        <v>0</v>
      </c>
      <c r="Z32" s="80">
        <v>0</v>
      </c>
      <c r="AA32" s="80">
        <v>1302.00113450864</v>
      </c>
      <c r="AB32" s="80">
        <v>-34.800395111503903</v>
      </c>
      <c r="AC32" s="80">
        <v>0</v>
      </c>
      <c r="AD32" s="80">
        <v>22.9449750021823</v>
      </c>
      <c r="AE32" s="80">
        <v>0</v>
      </c>
      <c r="AF32" s="80">
        <v>0</v>
      </c>
      <c r="AG32" s="80">
        <v>0</v>
      </c>
      <c r="AH32" s="80">
        <v>0</v>
      </c>
      <c r="AI32" s="80">
        <v>0</v>
      </c>
      <c r="AJ32" s="80">
        <v>0</v>
      </c>
      <c r="AK32" s="80">
        <v>0</v>
      </c>
      <c r="AL32" s="80">
        <v>0</v>
      </c>
      <c r="AM32" s="80">
        <v>111.03871447729099</v>
      </c>
      <c r="AN32" s="80">
        <v>0</v>
      </c>
      <c r="AO32" s="80">
        <v>0</v>
      </c>
      <c r="AP32" s="80">
        <v>0</v>
      </c>
      <c r="AQ32" s="80">
        <v>-1.5959455413524399</v>
      </c>
      <c r="AR32" s="81">
        <v>0</v>
      </c>
    </row>
    <row r="33" spans="2:44" ht="12" customHeight="1" x14ac:dyDescent="0.25">
      <c r="B33" s="79" t="s">
        <v>41</v>
      </c>
      <c r="C33" s="80" t="s">
        <v>33</v>
      </c>
      <c r="D33" s="80" t="s">
        <v>42</v>
      </c>
      <c r="E33" s="80" t="s">
        <v>25</v>
      </c>
      <c r="F33" s="80" t="s">
        <v>25</v>
      </c>
      <c r="G33" s="80" t="s">
        <v>36</v>
      </c>
      <c r="H33" s="80" t="s">
        <v>66</v>
      </c>
      <c r="I33" s="80" t="s">
        <v>25</v>
      </c>
      <c r="J33" s="80">
        <v>1154.3800000000001</v>
      </c>
      <c r="K33" s="80">
        <v>109.44</v>
      </c>
      <c r="L33" s="80">
        <v>0</v>
      </c>
      <c r="M33" s="80">
        <v>2.6531875288128699</v>
      </c>
      <c r="N33" s="80">
        <v>0</v>
      </c>
      <c r="O33" s="80">
        <v>0</v>
      </c>
      <c r="P33" s="80">
        <v>0</v>
      </c>
      <c r="Q33" s="80">
        <v>87.8431156540736</v>
      </c>
      <c r="R33" s="80">
        <v>13.835910495224701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267.48907030718198</v>
      </c>
      <c r="Y33" s="80">
        <v>0</v>
      </c>
      <c r="Z33" s="80">
        <v>0</v>
      </c>
      <c r="AA33" s="80">
        <v>781.20048084305404</v>
      </c>
      <c r="AB33" s="80">
        <v>-21.591324033804899</v>
      </c>
      <c r="AC33" s="80">
        <v>0</v>
      </c>
      <c r="AD33" s="80">
        <v>22.9449750021823</v>
      </c>
      <c r="AE33" s="80">
        <v>0</v>
      </c>
      <c r="AF33" s="80">
        <v>0</v>
      </c>
      <c r="AG33" s="80">
        <v>0</v>
      </c>
      <c r="AH33" s="80">
        <v>0</v>
      </c>
      <c r="AI33" s="80">
        <v>0</v>
      </c>
      <c r="AJ33" s="80">
        <v>0</v>
      </c>
      <c r="AK33" s="80">
        <v>0</v>
      </c>
      <c r="AL33" s="80">
        <v>0</v>
      </c>
      <c r="AM33" s="80">
        <v>111.03871447729099</v>
      </c>
      <c r="AN33" s="80">
        <v>0</v>
      </c>
      <c r="AO33" s="80">
        <v>0</v>
      </c>
      <c r="AP33" s="80">
        <v>0</v>
      </c>
      <c r="AQ33" s="80">
        <v>-1.5959455413524399</v>
      </c>
      <c r="AR33" s="81">
        <v>0</v>
      </c>
    </row>
    <row r="34" spans="2:44" ht="12" customHeight="1" x14ac:dyDescent="0.25">
      <c r="B34" s="79" t="s">
        <v>41</v>
      </c>
      <c r="C34" s="80" t="s">
        <v>33</v>
      </c>
      <c r="D34" s="80" t="s">
        <v>42</v>
      </c>
      <c r="E34" s="80" t="s">
        <v>25</v>
      </c>
      <c r="F34" s="80" t="s">
        <v>25</v>
      </c>
      <c r="G34" s="80" t="s">
        <v>35</v>
      </c>
      <c r="H34" s="80" t="s">
        <v>66</v>
      </c>
      <c r="I34" s="80" t="s">
        <v>25</v>
      </c>
      <c r="J34" s="80">
        <v>468.48</v>
      </c>
      <c r="K34" s="80">
        <v>109.44</v>
      </c>
      <c r="L34" s="80">
        <v>0</v>
      </c>
      <c r="M34" s="80">
        <v>2.6531875288128699</v>
      </c>
      <c r="N34" s="80">
        <v>0</v>
      </c>
      <c r="O34" s="80">
        <v>0</v>
      </c>
      <c r="P34" s="80">
        <v>0</v>
      </c>
      <c r="Q34" s="80">
        <v>87.8431156540736</v>
      </c>
      <c r="R34" s="80">
        <v>13.835910495224701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89.182614485020906</v>
      </c>
      <c r="Y34" s="80">
        <v>0</v>
      </c>
      <c r="Z34" s="80">
        <v>0</v>
      </c>
      <c r="AA34" s="80">
        <v>260.40028839776602</v>
      </c>
      <c r="AB34" s="80">
        <v>-8.3822623232104494</v>
      </c>
      <c r="AC34" s="80">
        <v>0</v>
      </c>
      <c r="AD34" s="80">
        <v>22.9449750021823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111.03871447729099</v>
      </c>
      <c r="AN34" s="80">
        <v>0</v>
      </c>
      <c r="AO34" s="80">
        <v>0</v>
      </c>
      <c r="AP34" s="80">
        <v>0</v>
      </c>
      <c r="AQ34" s="80">
        <v>-1.5959455413524399</v>
      </c>
      <c r="AR34" s="81">
        <v>0</v>
      </c>
    </row>
    <row r="35" spans="2:44" ht="12" customHeight="1" x14ac:dyDescent="0.25">
      <c r="B35" s="79" t="s">
        <v>41</v>
      </c>
      <c r="C35" s="80" t="s">
        <v>33</v>
      </c>
      <c r="D35" s="80" t="s">
        <v>42</v>
      </c>
      <c r="E35" s="80" t="s">
        <v>84</v>
      </c>
      <c r="F35" s="80" t="s">
        <v>25</v>
      </c>
      <c r="G35" s="80" t="s">
        <v>34</v>
      </c>
      <c r="H35" s="80" t="s">
        <v>66</v>
      </c>
      <c r="I35" s="80" t="s">
        <v>25</v>
      </c>
      <c r="J35" s="80">
        <v>1801.12</v>
      </c>
      <c r="K35" s="80">
        <v>107.11</v>
      </c>
      <c r="L35" s="80">
        <v>0</v>
      </c>
      <c r="M35" s="80">
        <v>2.59673673032749</v>
      </c>
      <c r="N35" s="80">
        <v>0</v>
      </c>
      <c r="O35" s="80">
        <v>0</v>
      </c>
      <c r="P35" s="80">
        <v>0</v>
      </c>
      <c r="Q35" s="80">
        <v>85.9741131933487</v>
      </c>
      <c r="R35" s="80">
        <v>13.5415294208582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436.31051493510103</v>
      </c>
      <c r="Y35" s="80">
        <v>0</v>
      </c>
      <c r="Z35" s="80">
        <v>0</v>
      </c>
      <c r="AA35" s="80">
        <v>1274.29898271058</v>
      </c>
      <c r="AB35" s="80">
        <v>-34.059961172961302</v>
      </c>
      <c r="AC35" s="80">
        <v>0</v>
      </c>
      <c r="AD35" s="80">
        <v>22.456784044689101</v>
      </c>
      <c r="AE35" s="80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108.676188637349</v>
      </c>
      <c r="AN35" s="80">
        <v>0</v>
      </c>
      <c r="AO35" s="80">
        <v>0</v>
      </c>
      <c r="AP35" s="80">
        <v>0</v>
      </c>
      <c r="AQ35" s="80">
        <v>-1.56198925323856</v>
      </c>
      <c r="AR35" s="81">
        <v>0</v>
      </c>
    </row>
    <row r="36" spans="2:44" ht="12" customHeight="1" x14ac:dyDescent="0.25">
      <c r="B36" s="79" t="s">
        <v>41</v>
      </c>
      <c r="C36" s="80" t="s">
        <v>33</v>
      </c>
      <c r="D36" s="80" t="s">
        <v>42</v>
      </c>
      <c r="E36" s="80" t="s">
        <v>84</v>
      </c>
      <c r="F36" s="80" t="s">
        <v>25</v>
      </c>
      <c r="G36" s="80" t="s">
        <v>36</v>
      </c>
      <c r="H36" s="80" t="s">
        <v>66</v>
      </c>
      <c r="I36" s="80" t="s">
        <v>25</v>
      </c>
      <c r="J36" s="80">
        <v>1129.81</v>
      </c>
      <c r="K36" s="80">
        <v>107.11</v>
      </c>
      <c r="L36" s="80">
        <v>0</v>
      </c>
      <c r="M36" s="80">
        <v>2.59673673032749</v>
      </c>
      <c r="N36" s="80">
        <v>0</v>
      </c>
      <c r="O36" s="80">
        <v>0</v>
      </c>
      <c r="P36" s="80">
        <v>0</v>
      </c>
      <c r="Q36" s="80">
        <v>85.9741131933487</v>
      </c>
      <c r="R36" s="80">
        <v>13.5415294208582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261.79781349213499</v>
      </c>
      <c r="Y36" s="80">
        <v>0</v>
      </c>
      <c r="Z36" s="80">
        <v>0</v>
      </c>
      <c r="AA36" s="80">
        <v>764.57919401660604</v>
      </c>
      <c r="AB36" s="80">
        <v>-21.1319341607452</v>
      </c>
      <c r="AC36" s="80">
        <v>0</v>
      </c>
      <c r="AD36" s="80">
        <v>22.456784044689101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108.676188637349</v>
      </c>
      <c r="AN36" s="80">
        <v>0</v>
      </c>
      <c r="AO36" s="80">
        <v>0</v>
      </c>
      <c r="AP36" s="80">
        <v>0</v>
      </c>
      <c r="AQ36" s="80">
        <v>-1.56198925323856</v>
      </c>
      <c r="AR36" s="81">
        <v>0</v>
      </c>
    </row>
    <row r="37" spans="2:44" ht="12" customHeight="1" x14ac:dyDescent="0.25">
      <c r="B37" s="79" t="s">
        <v>41</v>
      </c>
      <c r="C37" s="80" t="s">
        <v>33</v>
      </c>
      <c r="D37" s="80" t="s">
        <v>42</v>
      </c>
      <c r="E37" s="80" t="s">
        <v>84</v>
      </c>
      <c r="F37" s="80" t="s">
        <v>25</v>
      </c>
      <c r="G37" s="80" t="s">
        <v>35</v>
      </c>
      <c r="H37" s="80" t="s">
        <v>66</v>
      </c>
      <c r="I37" s="80" t="s">
        <v>25</v>
      </c>
      <c r="J37" s="80">
        <v>458.51</v>
      </c>
      <c r="K37" s="80">
        <v>107.11</v>
      </c>
      <c r="L37" s="80">
        <v>0</v>
      </c>
      <c r="M37" s="80">
        <v>2.59673673032749</v>
      </c>
      <c r="N37" s="80">
        <v>0</v>
      </c>
      <c r="O37" s="80">
        <v>0</v>
      </c>
      <c r="P37" s="80">
        <v>0</v>
      </c>
      <c r="Q37" s="80">
        <v>85.9741131933487</v>
      </c>
      <c r="R37" s="80">
        <v>13.5415294208582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87.285112049169399</v>
      </c>
      <c r="Y37" s="80">
        <v>0</v>
      </c>
      <c r="Z37" s="80">
        <v>0</v>
      </c>
      <c r="AA37" s="80">
        <v>254.85985672972899</v>
      </c>
      <c r="AB37" s="80">
        <v>-8.2039163163336308</v>
      </c>
      <c r="AC37" s="80">
        <v>0</v>
      </c>
      <c r="AD37" s="80">
        <v>22.456784044689101</v>
      </c>
      <c r="AE37" s="80">
        <v>0</v>
      </c>
      <c r="AF37" s="80">
        <v>0</v>
      </c>
      <c r="AG37" s="80">
        <v>0</v>
      </c>
      <c r="AH37" s="80">
        <v>0</v>
      </c>
      <c r="AI37" s="80">
        <v>0</v>
      </c>
      <c r="AJ37" s="80">
        <v>0</v>
      </c>
      <c r="AK37" s="80">
        <v>0</v>
      </c>
      <c r="AL37" s="80">
        <v>0</v>
      </c>
      <c r="AM37" s="80">
        <v>108.676188637349</v>
      </c>
      <c r="AN37" s="80">
        <v>0</v>
      </c>
      <c r="AO37" s="80">
        <v>0</v>
      </c>
      <c r="AP37" s="80">
        <v>0</v>
      </c>
      <c r="AQ37" s="80">
        <v>-1.56198925323856</v>
      </c>
      <c r="AR37" s="81">
        <v>0</v>
      </c>
    </row>
    <row r="38" spans="2:44" ht="12" customHeight="1" x14ac:dyDescent="0.25">
      <c r="B38" s="79" t="s">
        <v>41</v>
      </c>
      <c r="C38" s="80" t="s">
        <v>23</v>
      </c>
      <c r="D38" s="80" t="s">
        <v>42</v>
      </c>
      <c r="E38" s="80" t="s">
        <v>83</v>
      </c>
      <c r="F38" s="80" t="s">
        <v>25</v>
      </c>
      <c r="G38" s="80" t="s">
        <v>25</v>
      </c>
      <c r="H38" s="80" t="s">
        <v>66</v>
      </c>
      <c r="I38" s="80" t="s">
        <v>25</v>
      </c>
      <c r="J38" s="80">
        <v>629.88</v>
      </c>
      <c r="K38" s="80">
        <v>109.44</v>
      </c>
      <c r="L38" s="80">
        <v>0</v>
      </c>
      <c r="M38" s="80">
        <v>2.6531875288128699</v>
      </c>
      <c r="N38" s="80">
        <v>0</v>
      </c>
      <c r="O38" s="80">
        <v>0</v>
      </c>
      <c r="P38" s="80">
        <v>0</v>
      </c>
      <c r="Q38" s="80">
        <v>87.8431156540736</v>
      </c>
      <c r="R38" s="80">
        <v>13.835910495224701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131.15108004444201</v>
      </c>
      <c r="Y38" s="80">
        <v>0</v>
      </c>
      <c r="Z38" s="80">
        <v>0</v>
      </c>
      <c r="AA38" s="80">
        <v>382.94144684485298</v>
      </c>
      <c r="AB38" s="80">
        <v>-11.4904822864645</v>
      </c>
      <c r="AC38" s="80">
        <v>0</v>
      </c>
      <c r="AD38" s="80">
        <v>22.9449750021823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111.03871447729099</v>
      </c>
      <c r="AN38" s="80">
        <v>0</v>
      </c>
      <c r="AO38" s="80">
        <v>0</v>
      </c>
      <c r="AP38" s="80">
        <v>0</v>
      </c>
      <c r="AQ38" s="80">
        <v>-1.5959455413524399</v>
      </c>
      <c r="AR38" s="81">
        <v>0</v>
      </c>
    </row>
    <row r="39" spans="2:44" ht="12" customHeight="1" x14ac:dyDescent="0.25">
      <c r="B39" s="79" t="s">
        <v>41</v>
      </c>
      <c r="C39" s="80" t="s">
        <v>23</v>
      </c>
      <c r="D39" s="80" t="s">
        <v>42</v>
      </c>
      <c r="E39" s="80" t="s">
        <v>25</v>
      </c>
      <c r="F39" s="80" t="s">
        <v>25</v>
      </c>
      <c r="G39" s="80" t="s">
        <v>25</v>
      </c>
      <c r="H39" s="80" t="s">
        <v>66</v>
      </c>
      <c r="I39" s="80" t="s">
        <v>25</v>
      </c>
      <c r="J39" s="80">
        <v>629.88</v>
      </c>
      <c r="K39" s="80">
        <v>109.44</v>
      </c>
      <c r="L39" s="80">
        <v>0</v>
      </c>
      <c r="M39" s="80">
        <v>2.6531875288128699</v>
      </c>
      <c r="N39" s="80">
        <v>0</v>
      </c>
      <c r="O39" s="80">
        <v>0</v>
      </c>
      <c r="P39" s="80">
        <v>0</v>
      </c>
      <c r="Q39" s="80">
        <v>87.8431156540736</v>
      </c>
      <c r="R39" s="80">
        <v>13.835910495224701</v>
      </c>
      <c r="S39" s="80">
        <v>0</v>
      </c>
      <c r="T39" s="80">
        <v>0</v>
      </c>
      <c r="U39" s="80">
        <v>0</v>
      </c>
      <c r="V39" s="80">
        <v>0</v>
      </c>
      <c r="W39" s="80">
        <v>0</v>
      </c>
      <c r="X39" s="80">
        <v>131.15108004444201</v>
      </c>
      <c r="Y39" s="80">
        <v>0</v>
      </c>
      <c r="Z39" s="80">
        <v>0</v>
      </c>
      <c r="AA39" s="80">
        <v>382.94144684485298</v>
      </c>
      <c r="AB39" s="80">
        <v>-11.4904822864645</v>
      </c>
      <c r="AC39" s="80">
        <v>0</v>
      </c>
      <c r="AD39" s="80">
        <v>22.9449750021823</v>
      </c>
      <c r="AE39" s="80">
        <v>0</v>
      </c>
      <c r="AF39" s="80">
        <v>0</v>
      </c>
      <c r="AG39" s="80">
        <v>0</v>
      </c>
      <c r="AH39" s="80">
        <v>0</v>
      </c>
      <c r="AI39" s="80">
        <v>0</v>
      </c>
      <c r="AJ39" s="80">
        <v>0</v>
      </c>
      <c r="AK39" s="80">
        <v>0</v>
      </c>
      <c r="AL39" s="80">
        <v>0</v>
      </c>
      <c r="AM39" s="80">
        <v>111.03871447729099</v>
      </c>
      <c r="AN39" s="80">
        <v>0</v>
      </c>
      <c r="AO39" s="80">
        <v>0</v>
      </c>
      <c r="AP39" s="80">
        <v>0</v>
      </c>
      <c r="AQ39" s="80">
        <v>-1.5959455413524399</v>
      </c>
      <c r="AR39" s="81">
        <v>0</v>
      </c>
    </row>
    <row r="40" spans="2:44" ht="12" customHeight="1" x14ac:dyDescent="0.25">
      <c r="B40" s="79" t="s">
        <v>41</v>
      </c>
      <c r="C40" s="80" t="s">
        <v>23</v>
      </c>
      <c r="D40" s="80" t="s">
        <v>42</v>
      </c>
      <c r="E40" s="80" t="s">
        <v>84</v>
      </c>
      <c r="F40" s="80" t="s">
        <v>25</v>
      </c>
      <c r="G40" s="80" t="s">
        <v>25</v>
      </c>
      <c r="H40" s="80" t="s">
        <v>66</v>
      </c>
      <c r="I40" s="80" t="s">
        <v>25</v>
      </c>
      <c r="J40" s="80">
        <v>616.48</v>
      </c>
      <c r="K40" s="80">
        <v>107.11</v>
      </c>
      <c r="L40" s="80">
        <v>0</v>
      </c>
      <c r="M40" s="80">
        <v>2.59673673032749</v>
      </c>
      <c r="N40" s="80">
        <v>0</v>
      </c>
      <c r="O40" s="80">
        <v>0</v>
      </c>
      <c r="P40" s="80">
        <v>0</v>
      </c>
      <c r="Q40" s="80">
        <v>85.9741131933487</v>
      </c>
      <c r="R40" s="80">
        <v>13.5415294208582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128.36063153285801</v>
      </c>
      <c r="Y40" s="80">
        <v>0</v>
      </c>
      <c r="Z40" s="80">
        <v>0</v>
      </c>
      <c r="AA40" s="80">
        <v>374.793756486451</v>
      </c>
      <c r="AB40" s="80">
        <v>-11.246003939944</v>
      </c>
      <c r="AC40" s="80">
        <v>0</v>
      </c>
      <c r="AD40" s="80">
        <v>22.456784044689101</v>
      </c>
      <c r="AE40" s="80">
        <v>0</v>
      </c>
      <c r="AF40" s="80">
        <v>0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108.676188637349</v>
      </c>
      <c r="AN40" s="80">
        <v>0</v>
      </c>
      <c r="AO40" s="80">
        <v>0</v>
      </c>
      <c r="AP40" s="80">
        <v>0</v>
      </c>
      <c r="AQ40" s="80">
        <v>-1.56198925323856</v>
      </c>
      <c r="AR40" s="81">
        <v>0</v>
      </c>
    </row>
    <row r="41" spans="2:44" ht="12" customHeight="1" x14ac:dyDescent="0.25">
      <c r="B41" s="79" t="s">
        <v>41</v>
      </c>
      <c r="C41" s="80" t="s">
        <v>82</v>
      </c>
      <c r="D41" s="80" t="s">
        <v>42</v>
      </c>
      <c r="E41" s="80" t="s">
        <v>83</v>
      </c>
      <c r="F41" s="80" t="s">
        <v>25</v>
      </c>
      <c r="G41" s="80" t="s">
        <v>25</v>
      </c>
      <c r="H41" s="80" t="s">
        <v>66</v>
      </c>
      <c r="I41" s="80" t="s">
        <v>25</v>
      </c>
      <c r="J41" s="80">
        <v>629.88</v>
      </c>
      <c r="K41" s="80">
        <v>109.44</v>
      </c>
      <c r="L41" s="80">
        <v>0</v>
      </c>
      <c r="M41" s="80">
        <v>2.6531875288128699</v>
      </c>
      <c r="N41" s="80">
        <v>0</v>
      </c>
      <c r="O41" s="80">
        <v>0</v>
      </c>
      <c r="P41" s="80">
        <v>0</v>
      </c>
      <c r="Q41" s="80">
        <v>87.8431156540736</v>
      </c>
      <c r="R41" s="80">
        <v>13.835910495224701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>
        <v>131.15108004444201</v>
      </c>
      <c r="Y41" s="80">
        <v>0</v>
      </c>
      <c r="Z41" s="80">
        <v>0</v>
      </c>
      <c r="AA41" s="80">
        <v>382.94144684485298</v>
      </c>
      <c r="AB41" s="80">
        <v>-11.4904822864645</v>
      </c>
      <c r="AC41" s="80">
        <v>0</v>
      </c>
      <c r="AD41" s="80">
        <v>22.9449750021823</v>
      </c>
      <c r="AE41" s="80">
        <v>0</v>
      </c>
      <c r="AF41" s="80">
        <v>0</v>
      </c>
      <c r="AG41" s="80">
        <v>0</v>
      </c>
      <c r="AH41" s="80">
        <v>0</v>
      </c>
      <c r="AI41" s="80">
        <v>0</v>
      </c>
      <c r="AJ41" s="80">
        <v>0</v>
      </c>
      <c r="AK41" s="80">
        <v>0</v>
      </c>
      <c r="AL41" s="80">
        <v>0</v>
      </c>
      <c r="AM41" s="80">
        <v>111.03871447729099</v>
      </c>
      <c r="AN41" s="80">
        <v>0</v>
      </c>
      <c r="AO41" s="80">
        <v>0</v>
      </c>
      <c r="AP41" s="80">
        <v>0</v>
      </c>
      <c r="AQ41" s="80">
        <v>-1.5959455413524399</v>
      </c>
      <c r="AR41" s="81">
        <v>0</v>
      </c>
    </row>
    <row r="42" spans="2:44" ht="12" customHeight="1" x14ac:dyDescent="0.25">
      <c r="B42" s="79" t="s">
        <v>41</v>
      </c>
      <c r="C42" s="80" t="s">
        <v>82</v>
      </c>
      <c r="D42" s="80" t="s">
        <v>42</v>
      </c>
      <c r="E42" s="80" t="s">
        <v>25</v>
      </c>
      <c r="F42" s="80" t="s">
        <v>25</v>
      </c>
      <c r="G42" s="80" t="s">
        <v>25</v>
      </c>
      <c r="H42" s="80" t="s">
        <v>66</v>
      </c>
      <c r="I42" s="80" t="s">
        <v>25</v>
      </c>
      <c r="J42" s="80">
        <v>629.88</v>
      </c>
      <c r="K42" s="80">
        <v>109.44</v>
      </c>
      <c r="L42" s="80">
        <v>0</v>
      </c>
      <c r="M42" s="80">
        <v>2.6531875288128699</v>
      </c>
      <c r="N42" s="80">
        <v>0</v>
      </c>
      <c r="O42" s="80">
        <v>0</v>
      </c>
      <c r="P42" s="80">
        <v>0</v>
      </c>
      <c r="Q42" s="80">
        <v>87.8431156540736</v>
      </c>
      <c r="R42" s="80">
        <v>13.835910495224701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131.15108004444201</v>
      </c>
      <c r="Y42" s="80">
        <v>0</v>
      </c>
      <c r="Z42" s="80">
        <v>0</v>
      </c>
      <c r="AA42" s="80">
        <v>382.94144684485298</v>
      </c>
      <c r="AB42" s="80">
        <v>-11.4904822864645</v>
      </c>
      <c r="AC42" s="80">
        <v>0</v>
      </c>
      <c r="AD42" s="80">
        <v>22.9449750021823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111.03871447729099</v>
      </c>
      <c r="AN42" s="80">
        <v>0</v>
      </c>
      <c r="AO42" s="80">
        <v>0</v>
      </c>
      <c r="AP42" s="80">
        <v>0</v>
      </c>
      <c r="AQ42" s="80">
        <v>-1.5959455413524399</v>
      </c>
      <c r="AR42" s="81">
        <v>0</v>
      </c>
    </row>
    <row r="43" spans="2:44" ht="12" customHeight="1" x14ac:dyDescent="0.25">
      <c r="B43" s="79" t="s">
        <v>41</v>
      </c>
      <c r="C43" s="80" t="s">
        <v>82</v>
      </c>
      <c r="D43" s="80" t="s">
        <v>42</v>
      </c>
      <c r="E43" s="80" t="s">
        <v>84</v>
      </c>
      <c r="F43" s="80" t="s">
        <v>25</v>
      </c>
      <c r="G43" s="80" t="s">
        <v>25</v>
      </c>
      <c r="H43" s="80" t="s">
        <v>66</v>
      </c>
      <c r="I43" s="80" t="s">
        <v>25</v>
      </c>
      <c r="J43" s="80">
        <v>616.48</v>
      </c>
      <c r="K43" s="80">
        <v>107.11</v>
      </c>
      <c r="L43" s="80">
        <v>0</v>
      </c>
      <c r="M43" s="80">
        <v>2.59673673032749</v>
      </c>
      <c r="N43" s="80">
        <v>0</v>
      </c>
      <c r="O43" s="80">
        <v>0</v>
      </c>
      <c r="P43" s="80">
        <v>0</v>
      </c>
      <c r="Q43" s="80">
        <v>85.9741131933487</v>
      </c>
      <c r="R43" s="80">
        <v>13.5415294208582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128.36063153285801</v>
      </c>
      <c r="Y43" s="80">
        <v>0</v>
      </c>
      <c r="Z43" s="80">
        <v>0</v>
      </c>
      <c r="AA43" s="80">
        <v>374.793756486451</v>
      </c>
      <c r="AB43" s="80">
        <v>-11.246003939944</v>
      </c>
      <c r="AC43" s="80">
        <v>0</v>
      </c>
      <c r="AD43" s="80">
        <v>22.456784044689101</v>
      </c>
      <c r="AE43" s="80">
        <v>0</v>
      </c>
      <c r="AF43" s="80">
        <v>0</v>
      </c>
      <c r="AG43" s="80">
        <v>0</v>
      </c>
      <c r="AH43" s="80">
        <v>0</v>
      </c>
      <c r="AI43" s="80">
        <v>0</v>
      </c>
      <c r="AJ43" s="80">
        <v>0</v>
      </c>
      <c r="AK43" s="80">
        <v>0</v>
      </c>
      <c r="AL43" s="80">
        <v>0</v>
      </c>
      <c r="AM43" s="80">
        <v>108.676188637349</v>
      </c>
      <c r="AN43" s="80">
        <v>0</v>
      </c>
      <c r="AO43" s="80">
        <v>0</v>
      </c>
      <c r="AP43" s="80">
        <v>0</v>
      </c>
      <c r="AQ43" s="80">
        <v>-1.56198925323856</v>
      </c>
      <c r="AR43" s="81">
        <v>0</v>
      </c>
    </row>
    <row r="44" spans="2:44" ht="12" customHeight="1" x14ac:dyDescent="0.25">
      <c r="B44" s="79" t="s">
        <v>37</v>
      </c>
      <c r="C44" s="80" t="s">
        <v>33</v>
      </c>
      <c r="D44" s="80" t="s">
        <v>25</v>
      </c>
      <c r="E44" s="80" t="s">
        <v>25</v>
      </c>
      <c r="F44" s="80" t="s">
        <v>25</v>
      </c>
      <c r="G44" s="80" t="s">
        <v>34</v>
      </c>
      <c r="H44" s="80" t="s">
        <v>66</v>
      </c>
      <c r="I44" s="80" t="s">
        <v>25</v>
      </c>
      <c r="J44" s="80">
        <v>1984.61</v>
      </c>
      <c r="K44" s="80">
        <v>116.43</v>
      </c>
      <c r="L44" s="80">
        <v>0</v>
      </c>
      <c r="M44" s="80">
        <v>2.8225399242690199</v>
      </c>
      <c r="N44" s="80">
        <v>0</v>
      </c>
      <c r="O44" s="80">
        <v>0</v>
      </c>
      <c r="P44" s="80">
        <v>0</v>
      </c>
      <c r="Q44" s="80">
        <v>93.450123036248499</v>
      </c>
      <c r="R44" s="80">
        <v>14.719053718324099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481.27360636039901</v>
      </c>
      <c r="Y44" s="80">
        <v>0</v>
      </c>
      <c r="Z44" s="80">
        <v>0</v>
      </c>
      <c r="AA44" s="80">
        <v>1405.4765990906899</v>
      </c>
      <c r="AB44" s="80">
        <v>-37.539044138616198</v>
      </c>
      <c r="AC44" s="80">
        <v>0</v>
      </c>
      <c r="AD44" s="80">
        <v>24.409547874662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118.126291997118</v>
      </c>
      <c r="AN44" s="80">
        <v>0</v>
      </c>
      <c r="AO44" s="80">
        <v>0</v>
      </c>
      <c r="AP44" s="80">
        <v>0</v>
      </c>
      <c r="AQ44" s="80">
        <v>-1.69781440569409</v>
      </c>
      <c r="AR44" s="81">
        <v>0</v>
      </c>
    </row>
    <row r="45" spans="2:44" ht="12" customHeight="1" x14ac:dyDescent="0.25">
      <c r="B45" s="79" t="s">
        <v>37</v>
      </c>
      <c r="C45" s="80" t="s">
        <v>33</v>
      </c>
      <c r="D45" s="80" t="s">
        <v>25</v>
      </c>
      <c r="E45" s="80" t="s">
        <v>25</v>
      </c>
      <c r="F45" s="80" t="s">
        <v>25</v>
      </c>
      <c r="G45" s="80" t="s">
        <v>36</v>
      </c>
      <c r="H45" s="80" t="s">
        <v>66</v>
      </c>
      <c r="I45" s="80" t="s">
        <v>25</v>
      </c>
      <c r="J45" s="80">
        <v>1244.1099999999999</v>
      </c>
      <c r="K45" s="80">
        <v>116.43</v>
      </c>
      <c r="L45" s="80">
        <v>0</v>
      </c>
      <c r="M45" s="80">
        <v>2.8225399242690199</v>
      </c>
      <c r="N45" s="80">
        <v>0</v>
      </c>
      <c r="O45" s="80">
        <v>0</v>
      </c>
      <c r="P45" s="80">
        <v>0</v>
      </c>
      <c r="Q45" s="80">
        <v>93.450123036248499</v>
      </c>
      <c r="R45" s="80">
        <v>14.719053718324099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288.701460549047</v>
      </c>
      <c r="Y45" s="80">
        <v>0</v>
      </c>
      <c r="Z45" s="80">
        <v>0</v>
      </c>
      <c r="AA45" s="80">
        <v>843.28602487573198</v>
      </c>
      <c r="AB45" s="80">
        <v>-23.2787975022759</v>
      </c>
      <c r="AC45" s="80">
        <v>0</v>
      </c>
      <c r="AD45" s="80">
        <v>24.409547874662</v>
      </c>
      <c r="AE45" s="80">
        <v>0</v>
      </c>
      <c r="AF45" s="80">
        <v>0</v>
      </c>
      <c r="AG45" s="80">
        <v>0</v>
      </c>
      <c r="AH45" s="80">
        <v>0</v>
      </c>
      <c r="AI45" s="80">
        <v>0</v>
      </c>
      <c r="AJ45" s="80">
        <v>0</v>
      </c>
      <c r="AK45" s="80">
        <v>0</v>
      </c>
      <c r="AL45" s="80">
        <v>0</v>
      </c>
      <c r="AM45" s="80">
        <v>118.126291997118</v>
      </c>
      <c r="AN45" s="80">
        <v>0</v>
      </c>
      <c r="AO45" s="80">
        <v>0</v>
      </c>
      <c r="AP45" s="80">
        <v>0</v>
      </c>
      <c r="AQ45" s="80">
        <v>-1.69781440569409</v>
      </c>
      <c r="AR45" s="81">
        <v>0</v>
      </c>
    </row>
    <row r="46" spans="2:44" ht="12" customHeight="1" x14ac:dyDescent="0.25">
      <c r="B46" s="79" t="s">
        <v>37</v>
      </c>
      <c r="C46" s="80" t="s">
        <v>33</v>
      </c>
      <c r="D46" s="80" t="s">
        <v>25</v>
      </c>
      <c r="E46" s="80" t="s">
        <v>25</v>
      </c>
      <c r="F46" s="80" t="s">
        <v>25</v>
      </c>
      <c r="G46" s="80" t="s">
        <v>35</v>
      </c>
      <c r="H46" s="80" t="s">
        <v>66</v>
      </c>
      <c r="I46" s="80" t="s">
        <v>25</v>
      </c>
      <c r="J46" s="80">
        <v>503.73</v>
      </c>
      <c r="K46" s="80">
        <v>116.43</v>
      </c>
      <c r="L46" s="80">
        <v>0</v>
      </c>
      <c r="M46" s="80">
        <v>2.8225399242690199</v>
      </c>
      <c r="N46" s="80">
        <v>0</v>
      </c>
      <c r="O46" s="80">
        <v>0</v>
      </c>
      <c r="P46" s="80">
        <v>0</v>
      </c>
      <c r="Q46" s="80">
        <v>93.450123036248499</v>
      </c>
      <c r="R46" s="80">
        <v>14.719053718324099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96.254746792335098</v>
      </c>
      <c r="Y46" s="80">
        <v>0</v>
      </c>
      <c r="Z46" s="80">
        <v>0</v>
      </c>
      <c r="AA46" s="80">
        <v>281.09528710747901</v>
      </c>
      <c r="AB46" s="80">
        <v>-9.0203990073133795</v>
      </c>
      <c r="AC46" s="80">
        <v>0</v>
      </c>
      <c r="AD46" s="80">
        <v>24.409547874662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80">
        <v>0</v>
      </c>
      <c r="AL46" s="80">
        <v>0</v>
      </c>
      <c r="AM46" s="80">
        <v>118.126291997118</v>
      </c>
      <c r="AN46" s="80">
        <v>0</v>
      </c>
      <c r="AO46" s="80">
        <v>0</v>
      </c>
      <c r="AP46" s="80">
        <v>0</v>
      </c>
      <c r="AQ46" s="80">
        <v>-1.69781440569409</v>
      </c>
      <c r="AR46" s="81">
        <v>0</v>
      </c>
    </row>
    <row r="47" spans="2:44" ht="12" customHeight="1" x14ac:dyDescent="0.25">
      <c r="B47" s="79" t="s">
        <v>37</v>
      </c>
      <c r="C47" s="80" t="s">
        <v>23</v>
      </c>
      <c r="D47" s="80" t="s">
        <v>25</v>
      </c>
      <c r="E47" s="80" t="s">
        <v>25</v>
      </c>
      <c r="F47" s="80" t="s">
        <v>25</v>
      </c>
      <c r="G47" s="80" t="s">
        <v>25</v>
      </c>
      <c r="H47" s="80" t="s">
        <v>66</v>
      </c>
      <c r="I47" s="80" t="s">
        <v>25</v>
      </c>
      <c r="J47" s="80">
        <v>670.08</v>
      </c>
      <c r="K47" s="80">
        <v>116.43</v>
      </c>
      <c r="L47" s="80">
        <v>0</v>
      </c>
      <c r="M47" s="80">
        <v>2.8225399242690199</v>
      </c>
      <c r="N47" s="80">
        <v>0</v>
      </c>
      <c r="O47" s="80">
        <v>0</v>
      </c>
      <c r="P47" s="80">
        <v>0</v>
      </c>
      <c r="Q47" s="80">
        <v>93.450123036248499</v>
      </c>
      <c r="R47" s="80">
        <v>14.719053718324099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139.52242557919399</v>
      </c>
      <c r="Y47" s="80">
        <v>0</v>
      </c>
      <c r="Z47" s="80">
        <v>0</v>
      </c>
      <c r="AA47" s="80">
        <v>407.384517920056</v>
      </c>
      <c r="AB47" s="80">
        <v>-12.2239173260261</v>
      </c>
      <c r="AC47" s="80">
        <v>0</v>
      </c>
      <c r="AD47" s="80">
        <v>24.409547874662</v>
      </c>
      <c r="AE47" s="80">
        <v>0</v>
      </c>
      <c r="AF47" s="80">
        <v>0</v>
      </c>
      <c r="AG47" s="80">
        <v>0</v>
      </c>
      <c r="AH47" s="80">
        <v>0</v>
      </c>
      <c r="AI47" s="80">
        <v>0</v>
      </c>
      <c r="AJ47" s="80">
        <v>0</v>
      </c>
      <c r="AK47" s="80">
        <v>0</v>
      </c>
      <c r="AL47" s="80">
        <v>0</v>
      </c>
      <c r="AM47" s="80">
        <v>118.126291997118</v>
      </c>
      <c r="AN47" s="80">
        <v>0</v>
      </c>
      <c r="AO47" s="80">
        <v>0</v>
      </c>
      <c r="AP47" s="80">
        <v>0</v>
      </c>
      <c r="AQ47" s="80">
        <v>-1.69781440569409</v>
      </c>
      <c r="AR47" s="81">
        <v>0</v>
      </c>
    </row>
    <row r="48" spans="2:44" ht="12" customHeight="1" x14ac:dyDescent="0.25">
      <c r="B48" s="79" t="s">
        <v>37</v>
      </c>
      <c r="C48" s="80" t="s">
        <v>82</v>
      </c>
      <c r="D48" s="80" t="s">
        <v>25</v>
      </c>
      <c r="E48" s="80" t="s">
        <v>25</v>
      </c>
      <c r="F48" s="80" t="s">
        <v>25</v>
      </c>
      <c r="G48" s="80" t="s">
        <v>25</v>
      </c>
      <c r="H48" s="80" t="s">
        <v>66</v>
      </c>
      <c r="I48" s="80" t="s">
        <v>25</v>
      </c>
      <c r="J48" s="80">
        <v>670.08</v>
      </c>
      <c r="K48" s="80">
        <v>116.43</v>
      </c>
      <c r="L48" s="80">
        <v>0</v>
      </c>
      <c r="M48" s="80">
        <v>2.8225399242690199</v>
      </c>
      <c r="N48" s="80">
        <v>0</v>
      </c>
      <c r="O48" s="80">
        <v>0</v>
      </c>
      <c r="P48" s="80">
        <v>0</v>
      </c>
      <c r="Q48" s="80">
        <v>93.450123036248499</v>
      </c>
      <c r="R48" s="80">
        <v>14.719053718324099</v>
      </c>
      <c r="S48" s="80">
        <v>0</v>
      </c>
      <c r="T48" s="80">
        <v>0</v>
      </c>
      <c r="U48" s="80">
        <v>0</v>
      </c>
      <c r="V48" s="80">
        <v>0</v>
      </c>
      <c r="W48" s="80">
        <v>0</v>
      </c>
      <c r="X48" s="80">
        <v>139.52242557919399</v>
      </c>
      <c r="Y48" s="80">
        <v>0</v>
      </c>
      <c r="Z48" s="80">
        <v>0</v>
      </c>
      <c r="AA48" s="80">
        <v>407.384517920056</v>
      </c>
      <c r="AB48" s="80">
        <v>-12.2239173260261</v>
      </c>
      <c r="AC48" s="80">
        <v>0</v>
      </c>
      <c r="AD48" s="80">
        <v>24.409547874662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118.126291997118</v>
      </c>
      <c r="AN48" s="80">
        <v>0</v>
      </c>
      <c r="AO48" s="80">
        <v>0</v>
      </c>
      <c r="AP48" s="80">
        <v>0</v>
      </c>
      <c r="AQ48" s="80">
        <v>-1.69781440569409</v>
      </c>
      <c r="AR48" s="81">
        <v>0</v>
      </c>
    </row>
    <row r="49" spans="2:44" ht="12" customHeight="1" x14ac:dyDescent="0.25">
      <c r="B49" s="79" t="s">
        <v>44</v>
      </c>
      <c r="C49" s="80" t="s">
        <v>23</v>
      </c>
      <c r="D49" s="80" t="s">
        <v>45</v>
      </c>
      <c r="E49" s="80" t="s">
        <v>46</v>
      </c>
      <c r="F49" s="80" t="s">
        <v>25</v>
      </c>
      <c r="G49" s="80" t="s">
        <v>25</v>
      </c>
      <c r="H49" s="80" t="s">
        <v>66</v>
      </c>
      <c r="I49" s="80" t="s">
        <v>25</v>
      </c>
      <c r="J49" s="80">
        <v>368.55</v>
      </c>
      <c r="K49" s="80">
        <v>64.040000000000006</v>
      </c>
      <c r="L49" s="80">
        <v>0</v>
      </c>
      <c r="M49" s="80">
        <v>1.55239695834796</v>
      </c>
      <c r="N49" s="80">
        <v>0</v>
      </c>
      <c r="O49" s="80">
        <v>0</v>
      </c>
      <c r="P49" s="80">
        <v>0</v>
      </c>
      <c r="Q49" s="80">
        <v>51.397567669936699</v>
      </c>
      <c r="R49" s="80">
        <v>8.0954795450782697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76.737334068556507</v>
      </c>
      <c r="Y49" s="80">
        <v>0</v>
      </c>
      <c r="Z49" s="80">
        <v>0</v>
      </c>
      <c r="AA49" s="80">
        <v>224.061484856031</v>
      </c>
      <c r="AB49" s="80">
        <v>-6.7231545293143604</v>
      </c>
      <c r="AC49" s="80">
        <v>0</v>
      </c>
      <c r="AD49" s="80">
        <v>13.4252513310641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64.969460598415097</v>
      </c>
      <c r="AN49" s="80">
        <v>0</v>
      </c>
      <c r="AO49" s="80">
        <v>0</v>
      </c>
      <c r="AP49" s="80">
        <v>0</v>
      </c>
      <c r="AQ49" s="80">
        <v>-0.93379792313174903</v>
      </c>
      <c r="AR49" s="81">
        <v>0</v>
      </c>
    </row>
    <row r="50" spans="2:44" ht="12" customHeight="1" x14ac:dyDescent="0.25">
      <c r="B50" s="82" t="s">
        <v>44</v>
      </c>
      <c r="C50" s="83" t="s">
        <v>23</v>
      </c>
      <c r="D50" s="83" t="s">
        <v>45</v>
      </c>
      <c r="E50" s="83" t="s">
        <v>85</v>
      </c>
      <c r="F50" s="83" t="s">
        <v>25</v>
      </c>
      <c r="G50" s="83" t="s">
        <v>25</v>
      </c>
      <c r="H50" s="83" t="s">
        <v>66</v>
      </c>
      <c r="I50" s="83" t="s">
        <v>25</v>
      </c>
      <c r="J50" s="83">
        <v>402.05</v>
      </c>
      <c r="K50" s="83">
        <v>69.86</v>
      </c>
      <c r="L50" s="83">
        <v>0</v>
      </c>
      <c r="M50" s="83">
        <v>1.69352395456141</v>
      </c>
      <c r="N50" s="83">
        <v>0</v>
      </c>
      <c r="O50" s="83">
        <v>0</v>
      </c>
      <c r="P50" s="83">
        <v>0</v>
      </c>
      <c r="Q50" s="83">
        <v>56.070073821749098</v>
      </c>
      <c r="R50" s="83">
        <v>8.8314322309944799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83.713455347516202</v>
      </c>
      <c r="Y50" s="83">
        <v>0</v>
      </c>
      <c r="Z50" s="83">
        <v>0</v>
      </c>
      <c r="AA50" s="83">
        <v>244.430710752034</v>
      </c>
      <c r="AB50" s="83">
        <v>-7.3343503956156599</v>
      </c>
      <c r="AC50" s="83">
        <v>0</v>
      </c>
      <c r="AD50" s="83">
        <v>14.6457287247972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70.875775198271</v>
      </c>
      <c r="AN50" s="83">
        <v>0</v>
      </c>
      <c r="AO50" s="83">
        <v>0</v>
      </c>
      <c r="AP50" s="83">
        <v>0</v>
      </c>
      <c r="AQ50" s="83">
        <v>-1.0186886434164499</v>
      </c>
      <c r="AR50" s="84">
        <v>0</v>
      </c>
    </row>
  </sheetData>
  <mergeCells count="8">
    <mergeCell ref="L1:AG1"/>
    <mergeCell ref="AH1:AR1"/>
    <mergeCell ref="L2:S2"/>
    <mergeCell ref="T2:Z2"/>
    <mergeCell ref="AB2:AC2"/>
    <mergeCell ref="AD2:AG2"/>
    <mergeCell ref="AH2:AL2"/>
    <mergeCell ref="AN2:AQ2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9005-5561-47C5-B007-8C8834EAC85A}">
  <dimension ref="B1:AR50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2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14.5703125" bestFit="1" customWidth="1"/>
    <col min="36" max="36" width="9.85546875" bestFit="1" customWidth="1"/>
    <col min="37" max="37" width="12.5703125" bestFit="1" customWidth="1"/>
    <col min="38" max="38" width="12.28515625" bestFit="1" customWidth="1"/>
    <col min="39" max="39" width="14.140625" bestFit="1" customWidth="1"/>
    <col min="40" max="40" width="25.28515625" bestFit="1" customWidth="1"/>
    <col min="41" max="41" width="17.85546875" bestFit="1" customWidth="1"/>
    <col min="42" max="42" width="13.42578125" bestFit="1" customWidth="1"/>
    <col min="43" max="43" width="13.28515625" bestFit="1" customWidth="1"/>
    <col min="44" max="44" width="12.5703125" bestFit="1" customWidth="1"/>
  </cols>
  <sheetData>
    <row r="1" spans="2:44" ht="12" customHeight="1" x14ac:dyDescent="0.25">
      <c r="L1" s="121" t="s">
        <v>1071</v>
      </c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2"/>
      <c r="AH1" s="121" t="s">
        <v>1072</v>
      </c>
      <c r="AI1" s="121"/>
      <c r="AJ1" s="121"/>
      <c r="AK1" s="121"/>
      <c r="AL1" s="121"/>
      <c r="AM1" s="121"/>
      <c r="AN1" s="121"/>
      <c r="AO1" s="121"/>
      <c r="AP1" s="121"/>
      <c r="AQ1" s="121"/>
      <c r="AR1" s="121"/>
    </row>
    <row r="2" spans="2:44" ht="12" customHeight="1" x14ac:dyDescent="0.25">
      <c r="L2" s="123" t="s">
        <v>400</v>
      </c>
      <c r="M2" s="123"/>
      <c r="N2" s="123"/>
      <c r="O2" s="123"/>
      <c r="P2" s="123"/>
      <c r="Q2" s="123"/>
      <c r="R2" s="123"/>
      <c r="S2" s="124"/>
      <c r="T2" s="123" t="s">
        <v>409</v>
      </c>
      <c r="U2" s="123"/>
      <c r="V2" s="123"/>
      <c r="W2" s="123"/>
      <c r="X2" s="123"/>
      <c r="Y2" s="123"/>
      <c r="Z2" s="124"/>
      <c r="AA2" s="86" t="s">
        <v>417</v>
      </c>
      <c r="AB2" s="123" t="s">
        <v>25</v>
      </c>
      <c r="AC2" s="124"/>
      <c r="AD2" s="123" t="s">
        <v>1070</v>
      </c>
      <c r="AE2" s="123"/>
      <c r="AF2" s="123"/>
      <c r="AG2" s="124"/>
      <c r="AH2" s="123" t="s">
        <v>400</v>
      </c>
      <c r="AI2" s="123"/>
      <c r="AJ2" s="123"/>
      <c r="AK2" s="123"/>
      <c r="AL2" s="124"/>
      <c r="AM2" s="86" t="s">
        <v>431</v>
      </c>
      <c r="AN2" s="123" t="s">
        <v>409</v>
      </c>
      <c r="AO2" s="123"/>
      <c r="AP2" s="123"/>
      <c r="AQ2" s="124"/>
      <c r="AR2" s="85" t="s">
        <v>1070</v>
      </c>
    </row>
    <row r="3" spans="2:44" ht="12" customHeight="1" x14ac:dyDescent="0.25">
      <c r="B3" s="76" t="s">
        <v>56</v>
      </c>
      <c r="C3" s="77" t="s">
        <v>57</v>
      </c>
      <c r="D3" s="77" t="s">
        <v>58</v>
      </c>
      <c r="E3" s="77" t="s">
        <v>59</v>
      </c>
      <c r="F3" s="77" t="s">
        <v>60</v>
      </c>
      <c r="G3" s="77" t="s">
        <v>62</v>
      </c>
      <c r="H3" s="77" t="s">
        <v>63</v>
      </c>
      <c r="I3" s="77" t="s">
        <v>669</v>
      </c>
      <c r="J3" s="77" t="s">
        <v>1034</v>
      </c>
      <c r="K3" s="77" t="s">
        <v>1035</v>
      </c>
      <c r="L3" s="77" t="s">
        <v>1036</v>
      </c>
      <c r="M3" s="77" t="s">
        <v>1037</v>
      </c>
      <c r="N3" s="77" t="s">
        <v>1038</v>
      </c>
      <c r="O3" s="77" t="s">
        <v>1039</v>
      </c>
      <c r="P3" s="77" t="s">
        <v>1040</v>
      </c>
      <c r="Q3" s="77" t="s">
        <v>1041</v>
      </c>
      <c r="R3" s="77" t="s">
        <v>1042</v>
      </c>
      <c r="S3" s="77" t="s">
        <v>1043</v>
      </c>
      <c r="T3" s="77" t="s">
        <v>1044</v>
      </c>
      <c r="U3" s="77" t="s">
        <v>1045</v>
      </c>
      <c r="V3" s="77" t="s">
        <v>1046</v>
      </c>
      <c r="W3" s="77" t="s">
        <v>1047</v>
      </c>
      <c r="X3" s="77" t="s">
        <v>1048</v>
      </c>
      <c r="Y3" s="77" t="s">
        <v>1049</v>
      </c>
      <c r="Z3" s="77" t="s">
        <v>1050</v>
      </c>
      <c r="AA3" s="77" t="s">
        <v>1051</v>
      </c>
      <c r="AB3" s="77" t="s">
        <v>1052</v>
      </c>
      <c r="AC3" s="77" t="s">
        <v>1053</v>
      </c>
      <c r="AD3" s="77" t="s">
        <v>1054</v>
      </c>
      <c r="AE3" s="77" t="s">
        <v>1055</v>
      </c>
      <c r="AF3" s="77" t="s">
        <v>1056</v>
      </c>
      <c r="AG3" s="77" t="s">
        <v>1057</v>
      </c>
      <c r="AH3" s="77" t="s">
        <v>1058</v>
      </c>
      <c r="AI3" s="77" t="s">
        <v>1059</v>
      </c>
      <c r="AJ3" s="77" t="s">
        <v>1060</v>
      </c>
      <c r="AK3" s="77" t="s">
        <v>1061</v>
      </c>
      <c r="AL3" s="77" t="s">
        <v>1062</v>
      </c>
      <c r="AM3" s="77" t="s">
        <v>1063</v>
      </c>
      <c r="AN3" s="77" t="s">
        <v>1064</v>
      </c>
      <c r="AO3" s="77" t="s">
        <v>1065</v>
      </c>
      <c r="AP3" s="77" t="s">
        <v>1066</v>
      </c>
      <c r="AQ3" s="77" t="s">
        <v>1067</v>
      </c>
      <c r="AR3" s="78" t="s">
        <v>1068</v>
      </c>
    </row>
    <row r="4" spans="2:44" ht="12" customHeight="1" x14ac:dyDescent="0.25">
      <c r="B4" s="79" t="s">
        <v>39</v>
      </c>
      <c r="C4" s="80" t="s">
        <v>71</v>
      </c>
      <c r="D4" s="80" t="s">
        <v>25</v>
      </c>
      <c r="E4" s="80" t="s">
        <v>25</v>
      </c>
      <c r="F4" s="80" t="s">
        <v>75</v>
      </c>
      <c r="G4" s="80" t="s">
        <v>34</v>
      </c>
      <c r="H4" s="80" t="s">
        <v>66</v>
      </c>
      <c r="I4" s="80" t="s">
        <v>25</v>
      </c>
      <c r="J4" s="80">
        <v>5.28</v>
      </c>
      <c r="K4" s="80">
        <v>0</v>
      </c>
      <c r="L4" s="80">
        <v>0</v>
      </c>
      <c r="M4" s="80">
        <v>1.06084022618232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4.2186264613189799</v>
      </c>
      <c r="AE4" s="80">
        <v>0</v>
      </c>
      <c r="AF4" s="80">
        <v>0</v>
      </c>
      <c r="AG4" s="80">
        <v>0</v>
      </c>
      <c r="AH4" s="80">
        <v>0</v>
      </c>
      <c r="AI4" s="80">
        <v>0</v>
      </c>
      <c r="AJ4" s="80">
        <v>0</v>
      </c>
      <c r="AK4" s="80">
        <v>0</v>
      </c>
      <c r="AL4" s="80">
        <v>0</v>
      </c>
      <c r="AM4" s="80">
        <v>0</v>
      </c>
      <c r="AN4" s="80">
        <v>0</v>
      </c>
      <c r="AO4" s="80">
        <v>0</v>
      </c>
      <c r="AP4" s="80">
        <v>0</v>
      </c>
      <c r="AQ4" s="80">
        <v>0</v>
      </c>
      <c r="AR4" s="81">
        <v>0</v>
      </c>
    </row>
    <row r="5" spans="2:44" ht="12" customHeight="1" x14ac:dyDescent="0.25">
      <c r="B5" s="79" t="s">
        <v>39</v>
      </c>
      <c r="C5" s="80" t="s">
        <v>71</v>
      </c>
      <c r="D5" s="80" t="s">
        <v>25</v>
      </c>
      <c r="E5" s="80" t="s">
        <v>25</v>
      </c>
      <c r="F5" s="80" t="s">
        <v>75</v>
      </c>
      <c r="G5" s="80" t="s">
        <v>34</v>
      </c>
      <c r="H5" s="80" t="s">
        <v>72</v>
      </c>
      <c r="I5" s="80" t="s">
        <v>25</v>
      </c>
      <c r="J5" s="80">
        <v>101.03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34.506106572446399</v>
      </c>
      <c r="Y5" s="80">
        <v>0</v>
      </c>
      <c r="Z5" s="80">
        <v>0</v>
      </c>
      <c r="AA5" s="80">
        <v>66.518985513921805</v>
      </c>
      <c r="AB5" s="80">
        <v>0</v>
      </c>
      <c r="AC5" s="80">
        <v>0</v>
      </c>
      <c r="AD5" s="80">
        <v>0</v>
      </c>
      <c r="AE5" s="80">
        <v>0</v>
      </c>
      <c r="AF5" s="80">
        <v>0</v>
      </c>
      <c r="AG5" s="80">
        <v>0</v>
      </c>
      <c r="AH5" s="80">
        <v>0</v>
      </c>
      <c r="AI5" s="80">
        <v>0</v>
      </c>
      <c r="AJ5" s="80">
        <v>0</v>
      </c>
      <c r="AK5" s="80">
        <v>0</v>
      </c>
      <c r="AL5" s="80">
        <v>0</v>
      </c>
      <c r="AM5" s="80">
        <v>0</v>
      </c>
      <c r="AN5" s="80">
        <v>0</v>
      </c>
      <c r="AO5" s="80">
        <v>0</v>
      </c>
      <c r="AP5" s="80">
        <v>0</v>
      </c>
      <c r="AQ5" s="80">
        <v>0</v>
      </c>
      <c r="AR5" s="81">
        <v>0</v>
      </c>
    </row>
    <row r="6" spans="2:44" ht="12" customHeight="1" x14ac:dyDescent="0.25">
      <c r="B6" s="79" t="s">
        <v>39</v>
      </c>
      <c r="C6" s="80" t="s">
        <v>71</v>
      </c>
      <c r="D6" s="80" t="s">
        <v>25</v>
      </c>
      <c r="E6" s="80" t="s">
        <v>25</v>
      </c>
      <c r="F6" s="80" t="s">
        <v>75</v>
      </c>
      <c r="G6" s="80" t="s">
        <v>35</v>
      </c>
      <c r="H6" s="80" t="s">
        <v>66</v>
      </c>
      <c r="I6" s="80" t="s">
        <v>25</v>
      </c>
      <c r="J6" s="80">
        <v>5.28</v>
      </c>
      <c r="K6" s="80">
        <v>0</v>
      </c>
      <c r="L6" s="80">
        <v>0</v>
      </c>
      <c r="M6" s="80">
        <v>1.06084022618232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4.2186264613189799</v>
      </c>
      <c r="AE6" s="80">
        <v>0</v>
      </c>
      <c r="AF6" s="80">
        <v>0</v>
      </c>
      <c r="AG6" s="80">
        <v>0</v>
      </c>
      <c r="AH6" s="80">
        <v>0</v>
      </c>
      <c r="AI6" s="80">
        <v>0</v>
      </c>
      <c r="AJ6" s="80">
        <v>0</v>
      </c>
      <c r="AK6" s="80">
        <v>0</v>
      </c>
      <c r="AL6" s="80">
        <v>0</v>
      </c>
      <c r="AM6" s="80">
        <v>0</v>
      </c>
      <c r="AN6" s="80">
        <v>0</v>
      </c>
      <c r="AO6" s="80">
        <v>0</v>
      </c>
      <c r="AP6" s="80">
        <v>0</v>
      </c>
      <c r="AQ6" s="80">
        <v>0</v>
      </c>
      <c r="AR6" s="81">
        <v>0</v>
      </c>
    </row>
    <row r="7" spans="2:44" ht="12" customHeight="1" x14ac:dyDescent="0.25">
      <c r="B7" s="79" t="s">
        <v>39</v>
      </c>
      <c r="C7" s="80" t="s">
        <v>71</v>
      </c>
      <c r="D7" s="80" t="s">
        <v>25</v>
      </c>
      <c r="E7" s="80" t="s">
        <v>25</v>
      </c>
      <c r="F7" s="80" t="s">
        <v>75</v>
      </c>
      <c r="G7" s="80" t="s">
        <v>35</v>
      </c>
      <c r="H7" s="80" t="s">
        <v>72</v>
      </c>
      <c r="I7" s="80" t="s">
        <v>25</v>
      </c>
      <c r="J7" s="80">
        <v>48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17.350209612114998</v>
      </c>
      <c r="Y7" s="80">
        <v>0</v>
      </c>
      <c r="Z7" s="80">
        <v>0</v>
      </c>
      <c r="AA7" s="80">
        <v>30.649913135186999</v>
      </c>
      <c r="AB7" s="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80">
        <v>0</v>
      </c>
      <c r="AJ7" s="80">
        <v>0</v>
      </c>
      <c r="AK7" s="80">
        <v>0</v>
      </c>
      <c r="AL7" s="80">
        <v>0</v>
      </c>
      <c r="AM7" s="80">
        <v>0</v>
      </c>
      <c r="AN7" s="80">
        <v>0</v>
      </c>
      <c r="AO7" s="80">
        <v>0</v>
      </c>
      <c r="AP7" s="80">
        <v>0</v>
      </c>
      <c r="AQ7" s="80">
        <v>0</v>
      </c>
      <c r="AR7" s="81">
        <v>0</v>
      </c>
    </row>
    <row r="8" spans="2:44" ht="12" customHeight="1" x14ac:dyDescent="0.25">
      <c r="B8" s="79" t="s">
        <v>39</v>
      </c>
      <c r="C8" s="80" t="s">
        <v>71</v>
      </c>
      <c r="D8" s="80" t="s">
        <v>25</v>
      </c>
      <c r="E8" s="80" t="s">
        <v>25</v>
      </c>
      <c r="F8" s="80" t="s">
        <v>25</v>
      </c>
      <c r="G8" s="80" t="s">
        <v>34</v>
      </c>
      <c r="H8" s="80" t="s">
        <v>66</v>
      </c>
      <c r="I8" s="80" t="s">
        <v>25</v>
      </c>
      <c r="J8" s="80">
        <v>95.75</v>
      </c>
      <c r="K8" s="80">
        <v>118.75</v>
      </c>
      <c r="L8" s="80">
        <v>0</v>
      </c>
      <c r="M8" s="80">
        <v>1.06084022618232</v>
      </c>
      <c r="N8" s="80">
        <v>0</v>
      </c>
      <c r="O8" s="80">
        <v>0</v>
      </c>
      <c r="P8" s="80">
        <v>0</v>
      </c>
      <c r="Q8" s="80">
        <v>76.136483893882996</v>
      </c>
      <c r="R8" s="80">
        <v>14.330975493458199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4.2186264613189799</v>
      </c>
      <c r="AE8" s="80">
        <v>0</v>
      </c>
      <c r="AF8" s="80">
        <v>0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v>118.751127581106</v>
      </c>
      <c r="AN8" s="80">
        <v>0</v>
      </c>
      <c r="AO8" s="80">
        <v>0</v>
      </c>
      <c r="AP8" s="80">
        <v>0</v>
      </c>
      <c r="AQ8" s="80">
        <v>0</v>
      </c>
      <c r="AR8" s="81">
        <v>0</v>
      </c>
    </row>
    <row r="9" spans="2:44" ht="12" customHeight="1" x14ac:dyDescent="0.25">
      <c r="B9" s="79" t="s">
        <v>39</v>
      </c>
      <c r="C9" s="80" t="s">
        <v>71</v>
      </c>
      <c r="D9" s="80" t="s">
        <v>25</v>
      </c>
      <c r="E9" s="80" t="s">
        <v>25</v>
      </c>
      <c r="F9" s="80" t="s">
        <v>25</v>
      </c>
      <c r="G9" s="80" t="s">
        <v>34</v>
      </c>
      <c r="H9" s="80" t="s">
        <v>72</v>
      </c>
      <c r="I9" s="80" t="s">
        <v>25</v>
      </c>
      <c r="J9" s="80">
        <v>101.03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34.506106572446399</v>
      </c>
      <c r="Y9" s="80">
        <v>0</v>
      </c>
      <c r="Z9" s="80">
        <v>0</v>
      </c>
      <c r="AA9" s="80">
        <v>66.518985513921805</v>
      </c>
      <c r="AB9" s="80">
        <v>0</v>
      </c>
      <c r="AC9" s="80">
        <v>0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O9" s="80">
        <v>0</v>
      </c>
      <c r="AP9" s="80">
        <v>0</v>
      </c>
      <c r="AQ9" s="80">
        <v>0</v>
      </c>
      <c r="AR9" s="81">
        <v>0</v>
      </c>
    </row>
    <row r="10" spans="2:44" ht="12" customHeight="1" x14ac:dyDescent="0.25">
      <c r="B10" s="79" t="s">
        <v>39</v>
      </c>
      <c r="C10" s="80" t="s">
        <v>71</v>
      </c>
      <c r="D10" s="80" t="s">
        <v>25</v>
      </c>
      <c r="E10" s="80" t="s">
        <v>25</v>
      </c>
      <c r="F10" s="80" t="s">
        <v>25</v>
      </c>
      <c r="G10" s="80" t="s">
        <v>35</v>
      </c>
      <c r="H10" s="80" t="s">
        <v>66</v>
      </c>
      <c r="I10" s="80" t="s">
        <v>25</v>
      </c>
      <c r="J10" s="80">
        <v>95.75</v>
      </c>
      <c r="K10" s="80">
        <v>118.75</v>
      </c>
      <c r="L10" s="80">
        <v>0</v>
      </c>
      <c r="M10" s="80">
        <v>1.06084022618232</v>
      </c>
      <c r="N10" s="80">
        <v>0</v>
      </c>
      <c r="O10" s="80">
        <v>0</v>
      </c>
      <c r="P10" s="80">
        <v>0</v>
      </c>
      <c r="Q10" s="80">
        <v>76.136483893882996</v>
      </c>
      <c r="R10" s="80">
        <v>14.330975493458199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0">
        <v>4.2186264613189799</v>
      </c>
      <c r="AE10" s="80">
        <v>0</v>
      </c>
      <c r="AF10" s="80">
        <v>0</v>
      </c>
      <c r="AG10" s="80">
        <v>0</v>
      </c>
      <c r="AH10" s="80">
        <v>0</v>
      </c>
      <c r="AI10" s="80">
        <v>0</v>
      </c>
      <c r="AJ10" s="80">
        <v>0</v>
      </c>
      <c r="AK10" s="80">
        <v>0</v>
      </c>
      <c r="AL10" s="80">
        <v>0</v>
      </c>
      <c r="AM10" s="80">
        <v>118.751127581106</v>
      </c>
      <c r="AN10" s="80">
        <v>0</v>
      </c>
      <c r="AO10" s="80">
        <v>0</v>
      </c>
      <c r="AP10" s="80">
        <v>0</v>
      </c>
      <c r="AQ10" s="80">
        <v>0</v>
      </c>
      <c r="AR10" s="81">
        <v>0</v>
      </c>
    </row>
    <row r="11" spans="2:44" ht="12" customHeight="1" x14ac:dyDescent="0.25">
      <c r="B11" s="79" t="s">
        <v>39</v>
      </c>
      <c r="C11" s="80" t="s">
        <v>71</v>
      </c>
      <c r="D11" s="80" t="s">
        <v>25</v>
      </c>
      <c r="E11" s="80" t="s">
        <v>25</v>
      </c>
      <c r="F11" s="80" t="s">
        <v>25</v>
      </c>
      <c r="G11" s="80" t="s">
        <v>35</v>
      </c>
      <c r="H11" s="80" t="s">
        <v>72</v>
      </c>
      <c r="I11" s="80" t="s">
        <v>25</v>
      </c>
      <c r="J11" s="80">
        <v>48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17.350209612114998</v>
      </c>
      <c r="Y11" s="80">
        <v>0</v>
      </c>
      <c r="Z11" s="80">
        <v>0</v>
      </c>
      <c r="AA11" s="80">
        <v>30.649913135186999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  <c r="AH11" s="80">
        <v>0</v>
      </c>
      <c r="AI11" s="80">
        <v>0</v>
      </c>
      <c r="AJ11" s="80">
        <v>0</v>
      </c>
      <c r="AK11" s="80">
        <v>0</v>
      </c>
      <c r="AL11" s="80">
        <v>0</v>
      </c>
      <c r="AM11" s="80">
        <v>0</v>
      </c>
      <c r="AN11" s="80">
        <v>0</v>
      </c>
      <c r="AO11" s="80">
        <v>0</v>
      </c>
      <c r="AP11" s="80">
        <v>0</v>
      </c>
      <c r="AQ11" s="80">
        <v>0</v>
      </c>
      <c r="AR11" s="81">
        <v>0</v>
      </c>
    </row>
    <row r="12" spans="2:44" ht="12" customHeight="1" x14ac:dyDescent="0.25">
      <c r="B12" s="79" t="s">
        <v>39</v>
      </c>
      <c r="C12" s="80" t="s">
        <v>23</v>
      </c>
      <c r="D12" s="80" t="s">
        <v>25</v>
      </c>
      <c r="E12" s="80" t="s">
        <v>25</v>
      </c>
      <c r="F12" s="80" t="s">
        <v>25</v>
      </c>
      <c r="G12" s="80" t="s">
        <v>25</v>
      </c>
      <c r="H12" s="80" t="s">
        <v>66</v>
      </c>
      <c r="I12" s="80" t="s">
        <v>25</v>
      </c>
      <c r="J12" s="80">
        <v>0</v>
      </c>
      <c r="K12" s="80">
        <v>118.75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118.751127581106</v>
      </c>
      <c r="AN12" s="80">
        <v>0</v>
      </c>
      <c r="AO12" s="80">
        <v>0</v>
      </c>
      <c r="AP12" s="80">
        <v>0</v>
      </c>
      <c r="AQ12" s="80">
        <v>0</v>
      </c>
      <c r="AR12" s="81">
        <v>0</v>
      </c>
    </row>
    <row r="13" spans="2:44" ht="12" customHeight="1" x14ac:dyDescent="0.25">
      <c r="B13" s="79" t="s">
        <v>39</v>
      </c>
      <c r="C13" s="80" t="s">
        <v>76</v>
      </c>
      <c r="D13" s="80" t="s">
        <v>25</v>
      </c>
      <c r="E13" s="80" t="s">
        <v>25</v>
      </c>
      <c r="F13" s="80" t="s">
        <v>25</v>
      </c>
      <c r="G13" s="80" t="s">
        <v>25</v>
      </c>
      <c r="H13" s="80" t="s">
        <v>72</v>
      </c>
      <c r="I13" s="80" t="s">
        <v>25</v>
      </c>
      <c r="J13" s="80">
        <v>15.89</v>
      </c>
      <c r="K13" s="80">
        <v>0</v>
      </c>
      <c r="L13" s="80">
        <v>0</v>
      </c>
      <c r="M13" s="80">
        <v>1.37957860998624E-2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15.878422796885999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1">
        <v>0</v>
      </c>
    </row>
    <row r="14" spans="2:44" ht="12" customHeight="1" x14ac:dyDescent="0.25">
      <c r="B14" s="79" t="s">
        <v>39</v>
      </c>
      <c r="C14" s="80" t="s">
        <v>40</v>
      </c>
      <c r="D14" s="80" t="s">
        <v>25</v>
      </c>
      <c r="E14" s="80" t="s">
        <v>25</v>
      </c>
      <c r="F14" s="80" t="s">
        <v>75</v>
      </c>
      <c r="G14" s="80" t="s">
        <v>34</v>
      </c>
      <c r="H14" s="80" t="s">
        <v>66</v>
      </c>
      <c r="I14" s="80" t="s">
        <v>25</v>
      </c>
      <c r="J14" s="80">
        <v>2435.0100000000002</v>
      </c>
      <c r="K14" s="80">
        <v>0</v>
      </c>
      <c r="L14" s="80">
        <v>0</v>
      </c>
      <c r="M14" s="80">
        <v>1.06084022618232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829.95728817855502</v>
      </c>
      <c r="Y14" s="80">
        <v>0</v>
      </c>
      <c r="Z14" s="80">
        <v>0</v>
      </c>
      <c r="AA14" s="80">
        <v>1599.7767982036701</v>
      </c>
      <c r="AB14" s="80">
        <v>0</v>
      </c>
      <c r="AC14" s="80">
        <v>0</v>
      </c>
      <c r="AD14" s="80">
        <v>4.2186264613189799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1">
        <v>0</v>
      </c>
    </row>
    <row r="15" spans="2:44" ht="12" customHeight="1" x14ac:dyDescent="0.25">
      <c r="B15" s="79" t="s">
        <v>39</v>
      </c>
      <c r="C15" s="80" t="s">
        <v>40</v>
      </c>
      <c r="D15" s="80" t="s">
        <v>25</v>
      </c>
      <c r="E15" s="80" t="s">
        <v>25</v>
      </c>
      <c r="F15" s="80" t="s">
        <v>75</v>
      </c>
      <c r="G15" s="80" t="s">
        <v>25</v>
      </c>
      <c r="H15" s="80" t="s">
        <v>72</v>
      </c>
      <c r="I15" s="80" t="s">
        <v>25</v>
      </c>
      <c r="J15" s="80">
        <v>48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17.350209612114998</v>
      </c>
      <c r="Y15" s="80">
        <v>0</v>
      </c>
      <c r="Z15" s="80">
        <v>0</v>
      </c>
      <c r="AA15" s="80">
        <v>30.649913135186999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1">
        <v>0</v>
      </c>
    </row>
    <row r="16" spans="2:44" ht="12" customHeight="1" x14ac:dyDescent="0.25">
      <c r="B16" s="79" t="s">
        <v>39</v>
      </c>
      <c r="C16" s="80" t="s">
        <v>40</v>
      </c>
      <c r="D16" s="80" t="s">
        <v>25</v>
      </c>
      <c r="E16" s="80" t="s">
        <v>25</v>
      </c>
      <c r="F16" s="80" t="s">
        <v>75</v>
      </c>
      <c r="G16" s="80" t="s">
        <v>35</v>
      </c>
      <c r="H16" s="80" t="s">
        <v>66</v>
      </c>
      <c r="I16" s="80" t="s">
        <v>25</v>
      </c>
      <c r="J16" s="80">
        <v>5.28</v>
      </c>
      <c r="K16" s="80">
        <v>0</v>
      </c>
      <c r="L16" s="80">
        <v>0</v>
      </c>
      <c r="M16" s="80">
        <v>1.06084022618232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4.2186264613189799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1">
        <v>0</v>
      </c>
    </row>
    <row r="17" spans="2:44" ht="12" customHeight="1" x14ac:dyDescent="0.25">
      <c r="B17" s="79" t="s">
        <v>39</v>
      </c>
      <c r="C17" s="80" t="s">
        <v>40</v>
      </c>
      <c r="D17" s="80" t="s">
        <v>25</v>
      </c>
      <c r="E17" s="80" t="s">
        <v>25</v>
      </c>
      <c r="F17" s="80" t="s">
        <v>25</v>
      </c>
      <c r="G17" s="80" t="s">
        <v>34</v>
      </c>
      <c r="H17" s="80" t="s">
        <v>66</v>
      </c>
      <c r="I17" s="80" t="s">
        <v>25</v>
      </c>
      <c r="J17" s="80">
        <v>2525.48</v>
      </c>
      <c r="K17" s="80">
        <v>118.75</v>
      </c>
      <c r="L17" s="80">
        <v>0</v>
      </c>
      <c r="M17" s="80">
        <v>1.06084022618232</v>
      </c>
      <c r="N17" s="80">
        <v>0</v>
      </c>
      <c r="O17" s="80">
        <v>0</v>
      </c>
      <c r="P17" s="80">
        <v>0</v>
      </c>
      <c r="Q17" s="80">
        <v>76.136483893882996</v>
      </c>
      <c r="R17" s="80">
        <v>14.330975493458199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829.95728817855502</v>
      </c>
      <c r="Y17" s="80">
        <v>0</v>
      </c>
      <c r="Z17" s="80">
        <v>0</v>
      </c>
      <c r="AA17" s="80">
        <v>1599.7767982036701</v>
      </c>
      <c r="AB17" s="80">
        <v>0</v>
      </c>
      <c r="AC17" s="80">
        <v>0</v>
      </c>
      <c r="AD17" s="80">
        <v>4.2186264613189799</v>
      </c>
      <c r="AE17" s="80">
        <v>0</v>
      </c>
      <c r="AF17" s="80">
        <v>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118.751127581106</v>
      </c>
      <c r="AN17" s="80">
        <v>0</v>
      </c>
      <c r="AO17" s="80">
        <v>0</v>
      </c>
      <c r="AP17" s="80">
        <v>0</v>
      </c>
      <c r="AQ17" s="80">
        <v>0</v>
      </c>
      <c r="AR17" s="81">
        <v>0</v>
      </c>
    </row>
    <row r="18" spans="2:44" ht="12" customHeight="1" x14ac:dyDescent="0.25">
      <c r="B18" s="79" t="s">
        <v>39</v>
      </c>
      <c r="C18" s="80" t="s">
        <v>40</v>
      </c>
      <c r="D18" s="80" t="s">
        <v>25</v>
      </c>
      <c r="E18" s="80" t="s">
        <v>25</v>
      </c>
      <c r="F18" s="80" t="s">
        <v>25</v>
      </c>
      <c r="G18" s="80" t="s">
        <v>25</v>
      </c>
      <c r="H18" s="80" t="s">
        <v>72</v>
      </c>
      <c r="I18" s="80" t="s">
        <v>25</v>
      </c>
      <c r="J18" s="80">
        <v>48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17.350209612114998</v>
      </c>
      <c r="Y18" s="80">
        <v>0</v>
      </c>
      <c r="Z18" s="80">
        <v>0</v>
      </c>
      <c r="AA18" s="80">
        <v>30.649913135186999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81">
        <v>0</v>
      </c>
    </row>
    <row r="19" spans="2:44" ht="12" customHeight="1" x14ac:dyDescent="0.25">
      <c r="B19" s="79" t="s">
        <v>39</v>
      </c>
      <c r="C19" s="80" t="s">
        <v>40</v>
      </c>
      <c r="D19" s="80" t="s">
        <v>25</v>
      </c>
      <c r="E19" s="80" t="s">
        <v>25</v>
      </c>
      <c r="F19" s="80" t="s">
        <v>25</v>
      </c>
      <c r="G19" s="80" t="s">
        <v>35</v>
      </c>
      <c r="H19" s="80" t="s">
        <v>66</v>
      </c>
      <c r="I19" s="80" t="s">
        <v>25</v>
      </c>
      <c r="J19" s="80">
        <v>95.75</v>
      </c>
      <c r="K19" s="80">
        <v>118.75</v>
      </c>
      <c r="L19" s="80">
        <v>0</v>
      </c>
      <c r="M19" s="80">
        <v>1.06084022618232</v>
      </c>
      <c r="N19" s="80">
        <v>0</v>
      </c>
      <c r="O19" s="80">
        <v>0</v>
      </c>
      <c r="P19" s="80">
        <v>0</v>
      </c>
      <c r="Q19" s="80">
        <v>76.136483893882996</v>
      </c>
      <c r="R19" s="80">
        <v>14.330975493458199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v>4.2186264613189799</v>
      </c>
      <c r="AE19" s="80">
        <v>0</v>
      </c>
      <c r="AF19" s="80">
        <v>0</v>
      </c>
      <c r="AG19" s="80">
        <v>0</v>
      </c>
      <c r="AH19" s="80">
        <v>0</v>
      </c>
      <c r="AI19" s="80">
        <v>0</v>
      </c>
      <c r="AJ19" s="80">
        <v>0</v>
      </c>
      <c r="AK19" s="80">
        <v>0</v>
      </c>
      <c r="AL19" s="80">
        <v>0</v>
      </c>
      <c r="AM19" s="80">
        <v>118.751127581106</v>
      </c>
      <c r="AN19" s="80">
        <v>0</v>
      </c>
      <c r="AO19" s="80">
        <v>0</v>
      </c>
      <c r="AP19" s="80">
        <v>0</v>
      </c>
      <c r="AQ19" s="80">
        <v>0</v>
      </c>
      <c r="AR19" s="81">
        <v>0</v>
      </c>
    </row>
    <row r="20" spans="2:44" ht="12" customHeight="1" x14ac:dyDescent="0.25">
      <c r="B20" s="79" t="s">
        <v>77</v>
      </c>
      <c r="C20" s="80" t="s">
        <v>76</v>
      </c>
      <c r="D20" s="80" t="s">
        <v>25</v>
      </c>
      <c r="E20" s="80" t="s">
        <v>25</v>
      </c>
      <c r="F20" s="80" t="s">
        <v>78</v>
      </c>
      <c r="G20" s="80" t="s">
        <v>25</v>
      </c>
      <c r="H20" s="80" t="s">
        <v>72</v>
      </c>
      <c r="I20" s="80" t="s">
        <v>25</v>
      </c>
      <c r="J20" s="80">
        <v>6.28</v>
      </c>
      <c r="K20" s="80">
        <v>0</v>
      </c>
      <c r="L20" s="80">
        <v>0</v>
      </c>
      <c r="M20" s="80">
        <v>5.4777385984747804E-3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6.2732368098401201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81">
        <v>0</v>
      </c>
    </row>
    <row r="21" spans="2:44" ht="12" customHeight="1" x14ac:dyDescent="0.25">
      <c r="B21" s="79" t="s">
        <v>77</v>
      </c>
      <c r="C21" s="80" t="s">
        <v>76</v>
      </c>
      <c r="D21" s="80" t="s">
        <v>25</v>
      </c>
      <c r="E21" s="80" t="s">
        <v>25</v>
      </c>
      <c r="F21" s="80" t="s">
        <v>79</v>
      </c>
      <c r="G21" s="80" t="s">
        <v>25</v>
      </c>
      <c r="H21" s="80" t="s">
        <v>72</v>
      </c>
      <c r="I21" s="80" t="s">
        <v>25</v>
      </c>
      <c r="J21" s="80">
        <v>28.13</v>
      </c>
      <c r="K21" s="80">
        <v>0</v>
      </c>
      <c r="L21" s="80">
        <v>0</v>
      </c>
      <c r="M21" s="80">
        <v>5.4777385984747804E-3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28.121590650025599</v>
      </c>
      <c r="AB21" s="80">
        <v>0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0</v>
      </c>
      <c r="AM21" s="80">
        <v>0</v>
      </c>
      <c r="AN21" s="80">
        <v>0</v>
      </c>
      <c r="AO21" s="80">
        <v>0</v>
      </c>
      <c r="AP21" s="80">
        <v>0</v>
      </c>
      <c r="AQ21" s="80">
        <v>0</v>
      </c>
      <c r="AR21" s="81">
        <v>0</v>
      </c>
    </row>
    <row r="22" spans="2:44" ht="12" customHeight="1" x14ac:dyDescent="0.25">
      <c r="B22" s="79" t="s">
        <v>22</v>
      </c>
      <c r="C22" s="80" t="s">
        <v>33</v>
      </c>
      <c r="D22" s="80" t="s">
        <v>24</v>
      </c>
      <c r="E22" s="80" t="s">
        <v>24</v>
      </c>
      <c r="F22" s="80" t="s">
        <v>25</v>
      </c>
      <c r="G22" s="80" t="s">
        <v>34</v>
      </c>
      <c r="H22" s="80" t="s">
        <v>66</v>
      </c>
      <c r="I22" s="80" t="s">
        <v>25</v>
      </c>
      <c r="J22" s="80">
        <v>2228.09</v>
      </c>
      <c r="K22" s="80">
        <v>118.75</v>
      </c>
      <c r="L22" s="80">
        <v>0</v>
      </c>
      <c r="M22" s="80">
        <v>2.73657973969167</v>
      </c>
      <c r="N22" s="80">
        <v>0</v>
      </c>
      <c r="O22" s="80">
        <v>0</v>
      </c>
      <c r="P22" s="80">
        <v>0</v>
      </c>
      <c r="Q22" s="80">
        <v>90.638671302241704</v>
      </c>
      <c r="R22" s="80">
        <v>14.330975493458199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417.63295491264302</v>
      </c>
      <c r="Y22" s="80">
        <v>0</v>
      </c>
      <c r="Z22" s="80">
        <v>0</v>
      </c>
      <c r="AA22" s="80">
        <v>1678.2129937074999</v>
      </c>
      <c r="AB22" s="80">
        <v>0</v>
      </c>
      <c r="AC22" s="80">
        <v>0</v>
      </c>
      <c r="AD22" s="80">
        <v>24.5386635342097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118.751127581106</v>
      </c>
      <c r="AN22" s="80">
        <v>0</v>
      </c>
      <c r="AO22" s="80">
        <v>0</v>
      </c>
      <c r="AP22" s="80">
        <v>0</v>
      </c>
      <c r="AQ22" s="80">
        <v>0</v>
      </c>
      <c r="AR22" s="81">
        <v>0</v>
      </c>
    </row>
    <row r="23" spans="2:44" ht="12" customHeight="1" x14ac:dyDescent="0.25">
      <c r="B23" s="79" t="s">
        <v>22</v>
      </c>
      <c r="C23" s="80" t="s">
        <v>33</v>
      </c>
      <c r="D23" s="80" t="s">
        <v>24</v>
      </c>
      <c r="E23" s="80" t="s">
        <v>24</v>
      </c>
      <c r="F23" s="80" t="s">
        <v>25</v>
      </c>
      <c r="G23" s="80" t="s">
        <v>36</v>
      </c>
      <c r="H23" s="80" t="s">
        <v>66</v>
      </c>
      <c r="I23" s="80" t="s">
        <v>25</v>
      </c>
      <c r="J23" s="80">
        <v>1389.71</v>
      </c>
      <c r="K23" s="80">
        <v>118.75</v>
      </c>
      <c r="L23" s="80">
        <v>0</v>
      </c>
      <c r="M23" s="80">
        <v>2.73657973969167</v>
      </c>
      <c r="N23" s="80">
        <v>0</v>
      </c>
      <c r="O23" s="80">
        <v>0</v>
      </c>
      <c r="P23" s="80">
        <v>0</v>
      </c>
      <c r="Q23" s="80">
        <v>90.638671302241704</v>
      </c>
      <c r="R23" s="80">
        <v>14.330975493458199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250.540936764707</v>
      </c>
      <c r="Y23" s="80">
        <v>0</v>
      </c>
      <c r="Z23" s="80">
        <v>0</v>
      </c>
      <c r="AA23" s="80">
        <v>1006.92763359406</v>
      </c>
      <c r="AB23" s="80">
        <v>0</v>
      </c>
      <c r="AC23" s="80">
        <v>0</v>
      </c>
      <c r="AD23" s="80">
        <v>24.5386635342097</v>
      </c>
      <c r="AE23" s="80">
        <v>0</v>
      </c>
      <c r="AF23" s="80">
        <v>0</v>
      </c>
      <c r="AG23" s="80">
        <v>0</v>
      </c>
      <c r="AH23" s="80">
        <v>0</v>
      </c>
      <c r="AI23" s="80">
        <v>0</v>
      </c>
      <c r="AJ23" s="80">
        <v>0</v>
      </c>
      <c r="AK23" s="80">
        <v>0</v>
      </c>
      <c r="AL23" s="80">
        <v>0</v>
      </c>
      <c r="AM23" s="80">
        <v>118.751127581106</v>
      </c>
      <c r="AN23" s="80">
        <v>0</v>
      </c>
      <c r="AO23" s="80">
        <v>0</v>
      </c>
      <c r="AP23" s="80">
        <v>0</v>
      </c>
      <c r="AQ23" s="80">
        <v>0</v>
      </c>
      <c r="AR23" s="81">
        <v>0</v>
      </c>
    </row>
    <row r="24" spans="2:44" ht="12" customHeight="1" x14ac:dyDescent="0.25">
      <c r="B24" s="79" t="s">
        <v>22</v>
      </c>
      <c r="C24" s="80" t="s">
        <v>33</v>
      </c>
      <c r="D24" s="80" t="s">
        <v>24</v>
      </c>
      <c r="E24" s="80" t="s">
        <v>24</v>
      </c>
      <c r="F24" s="80" t="s">
        <v>25</v>
      </c>
      <c r="G24" s="80" t="s">
        <v>35</v>
      </c>
      <c r="H24" s="80" t="s">
        <v>66</v>
      </c>
      <c r="I24" s="80" t="s">
        <v>25</v>
      </c>
      <c r="J24" s="80">
        <v>551.4</v>
      </c>
      <c r="K24" s="80">
        <v>118.75</v>
      </c>
      <c r="L24" s="80">
        <v>0</v>
      </c>
      <c r="M24" s="80">
        <v>2.73657973969167</v>
      </c>
      <c r="N24" s="80">
        <v>0</v>
      </c>
      <c r="O24" s="80">
        <v>0</v>
      </c>
      <c r="P24" s="80">
        <v>0</v>
      </c>
      <c r="Q24" s="80">
        <v>90.638671302241704</v>
      </c>
      <c r="R24" s="80">
        <v>14.330975493458199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83.513601675772094</v>
      </c>
      <c r="Y24" s="80">
        <v>0</v>
      </c>
      <c r="Z24" s="80">
        <v>0</v>
      </c>
      <c r="AA24" s="80">
        <v>335.64238964522201</v>
      </c>
      <c r="AB24" s="80">
        <v>0</v>
      </c>
      <c r="AC24" s="80">
        <v>0</v>
      </c>
      <c r="AD24" s="80">
        <v>24.5386635342097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118.751127581106</v>
      </c>
      <c r="AN24" s="80">
        <v>0</v>
      </c>
      <c r="AO24" s="80">
        <v>0</v>
      </c>
      <c r="AP24" s="80">
        <v>0</v>
      </c>
      <c r="AQ24" s="80">
        <v>0</v>
      </c>
      <c r="AR24" s="81">
        <v>0</v>
      </c>
    </row>
    <row r="25" spans="2:44" ht="12" customHeight="1" x14ac:dyDescent="0.25">
      <c r="B25" s="79" t="s">
        <v>22</v>
      </c>
      <c r="C25" s="80" t="s">
        <v>23</v>
      </c>
      <c r="D25" s="80" t="s">
        <v>24</v>
      </c>
      <c r="E25" s="80" t="s">
        <v>1069</v>
      </c>
      <c r="F25" s="80" t="s">
        <v>25</v>
      </c>
      <c r="G25" s="80" t="s">
        <v>25</v>
      </c>
      <c r="H25" s="80" t="s">
        <v>66</v>
      </c>
      <c r="I25" s="80" t="s">
        <v>25</v>
      </c>
      <c r="J25" s="80">
        <v>750.01</v>
      </c>
      <c r="K25" s="80">
        <v>118.75</v>
      </c>
      <c r="L25" s="80">
        <v>0</v>
      </c>
      <c r="M25" s="80">
        <v>2.73657973969167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  <c r="X25" s="80">
        <v>144.04495679769599</v>
      </c>
      <c r="Y25" s="80">
        <v>0</v>
      </c>
      <c r="Z25" s="80">
        <v>0</v>
      </c>
      <c r="AA25" s="80">
        <v>578.69404363066201</v>
      </c>
      <c r="AB25" s="80">
        <v>0</v>
      </c>
      <c r="AC25" s="80">
        <v>0</v>
      </c>
      <c r="AD25" s="80">
        <v>24.5386635342097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0</v>
      </c>
      <c r="AK25" s="80">
        <v>0</v>
      </c>
      <c r="AL25" s="80">
        <v>0</v>
      </c>
      <c r="AM25" s="80">
        <v>118.751127581106</v>
      </c>
      <c r="AN25" s="80">
        <v>0</v>
      </c>
      <c r="AO25" s="80">
        <v>0</v>
      </c>
      <c r="AP25" s="80">
        <v>0</v>
      </c>
      <c r="AQ25" s="80">
        <v>0</v>
      </c>
      <c r="AR25" s="81">
        <v>0</v>
      </c>
    </row>
    <row r="26" spans="2:44" ht="12" customHeight="1" x14ac:dyDescent="0.25">
      <c r="B26" s="79" t="s">
        <v>22</v>
      </c>
      <c r="C26" s="80" t="s">
        <v>23</v>
      </c>
      <c r="D26" s="80" t="s">
        <v>24</v>
      </c>
      <c r="E26" s="80" t="s">
        <v>24</v>
      </c>
      <c r="F26" s="80" t="s">
        <v>25</v>
      </c>
      <c r="G26" s="80" t="s">
        <v>25</v>
      </c>
      <c r="H26" s="80" t="s">
        <v>66</v>
      </c>
      <c r="I26" s="80" t="s">
        <v>25</v>
      </c>
      <c r="J26" s="80">
        <v>854.98</v>
      </c>
      <c r="K26" s="80">
        <v>118.75</v>
      </c>
      <c r="L26" s="80">
        <v>0</v>
      </c>
      <c r="M26" s="80">
        <v>2.73657973969167</v>
      </c>
      <c r="N26" s="80">
        <v>0</v>
      </c>
      <c r="O26" s="80">
        <v>0</v>
      </c>
      <c r="P26" s="80">
        <v>0</v>
      </c>
      <c r="Q26" s="80">
        <v>90.638671302241704</v>
      </c>
      <c r="R26" s="80">
        <v>14.330975493458199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144.04495679769599</v>
      </c>
      <c r="Y26" s="80">
        <v>0</v>
      </c>
      <c r="Z26" s="80">
        <v>0</v>
      </c>
      <c r="AA26" s="80">
        <v>578.69404363066201</v>
      </c>
      <c r="AB26" s="80">
        <v>0</v>
      </c>
      <c r="AC26" s="80">
        <v>0</v>
      </c>
      <c r="AD26" s="80">
        <v>24.5386635342097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118.751127581106</v>
      </c>
      <c r="AN26" s="80">
        <v>0</v>
      </c>
      <c r="AO26" s="80">
        <v>0</v>
      </c>
      <c r="AP26" s="80">
        <v>0</v>
      </c>
      <c r="AQ26" s="80">
        <v>0</v>
      </c>
      <c r="AR26" s="81">
        <v>0</v>
      </c>
    </row>
    <row r="27" spans="2:44" ht="12" customHeight="1" x14ac:dyDescent="0.25">
      <c r="B27" s="79" t="s">
        <v>22</v>
      </c>
      <c r="C27" s="80" t="s">
        <v>82</v>
      </c>
      <c r="D27" s="80" t="s">
        <v>24</v>
      </c>
      <c r="E27" s="80" t="s">
        <v>1069</v>
      </c>
      <c r="F27" s="80" t="s">
        <v>25</v>
      </c>
      <c r="G27" s="80" t="s">
        <v>25</v>
      </c>
      <c r="H27" s="80" t="s">
        <v>66</v>
      </c>
      <c r="I27" s="80" t="s">
        <v>25</v>
      </c>
      <c r="J27" s="80">
        <v>750.01</v>
      </c>
      <c r="K27" s="80">
        <v>118.75</v>
      </c>
      <c r="L27" s="80">
        <v>0</v>
      </c>
      <c r="M27" s="80">
        <v>2.73657973969167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144.04495679769599</v>
      </c>
      <c r="Y27" s="80">
        <v>0</v>
      </c>
      <c r="Z27" s="80">
        <v>0</v>
      </c>
      <c r="AA27" s="80">
        <v>578.69404363066201</v>
      </c>
      <c r="AB27" s="80">
        <v>0</v>
      </c>
      <c r="AC27" s="80">
        <v>0</v>
      </c>
      <c r="AD27" s="80">
        <v>24.5386635342097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118.751127581106</v>
      </c>
      <c r="AN27" s="80">
        <v>0</v>
      </c>
      <c r="AO27" s="80">
        <v>0</v>
      </c>
      <c r="AP27" s="80">
        <v>0</v>
      </c>
      <c r="AQ27" s="80">
        <v>0</v>
      </c>
      <c r="AR27" s="81">
        <v>0</v>
      </c>
    </row>
    <row r="28" spans="2:44" ht="12" customHeight="1" x14ac:dyDescent="0.25">
      <c r="B28" s="79" t="s">
        <v>22</v>
      </c>
      <c r="C28" s="80" t="s">
        <v>82</v>
      </c>
      <c r="D28" s="80" t="s">
        <v>24</v>
      </c>
      <c r="E28" s="80" t="s">
        <v>24</v>
      </c>
      <c r="F28" s="80" t="s">
        <v>25</v>
      </c>
      <c r="G28" s="80" t="s">
        <v>25</v>
      </c>
      <c r="H28" s="80" t="s">
        <v>66</v>
      </c>
      <c r="I28" s="80" t="s">
        <v>25</v>
      </c>
      <c r="J28" s="80">
        <v>854.98</v>
      </c>
      <c r="K28" s="80">
        <v>118.75</v>
      </c>
      <c r="L28" s="80">
        <v>0</v>
      </c>
      <c r="M28" s="80">
        <v>2.73657973969167</v>
      </c>
      <c r="N28" s="80">
        <v>0</v>
      </c>
      <c r="O28" s="80">
        <v>0</v>
      </c>
      <c r="P28" s="80">
        <v>0</v>
      </c>
      <c r="Q28" s="80">
        <v>90.638671302241704</v>
      </c>
      <c r="R28" s="80">
        <v>14.330975493458199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144.04495679769599</v>
      </c>
      <c r="Y28" s="80">
        <v>0</v>
      </c>
      <c r="Z28" s="80">
        <v>0</v>
      </c>
      <c r="AA28" s="80">
        <v>578.69404363066201</v>
      </c>
      <c r="AB28" s="80">
        <v>0</v>
      </c>
      <c r="AC28" s="80">
        <v>0</v>
      </c>
      <c r="AD28" s="80">
        <v>24.5386635342097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118.751127581106</v>
      </c>
      <c r="AN28" s="80">
        <v>0</v>
      </c>
      <c r="AO28" s="80">
        <v>0</v>
      </c>
      <c r="AP28" s="80">
        <v>0</v>
      </c>
      <c r="AQ28" s="80">
        <v>0</v>
      </c>
      <c r="AR28" s="81">
        <v>0</v>
      </c>
    </row>
    <row r="29" spans="2:44" ht="12" customHeight="1" x14ac:dyDescent="0.25">
      <c r="B29" s="79" t="s">
        <v>41</v>
      </c>
      <c r="C29" s="80" t="s">
        <v>33</v>
      </c>
      <c r="D29" s="80" t="s">
        <v>42</v>
      </c>
      <c r="E29" s="80" t="s">
        <v>83</v>
      </c>
      <c r="F29" s="80" t="s">
        <v>25</v>
      </c>
      <c r="G29" s="80" t="s">
        <v>34</v>
      </c>
      <c r="H29" s="80" t="s">
        <v>66</v>
      </c>
      <c r="I29" s="80" t="s">
        <v>25</v>
      </c>
      <c r="J29" s="80">
        <v>2434.06</v>
      </c>
      <c r="K29" s="80">
        <v>111.63</v>
      </c>
      <c r="L29" s="80">
        <v>0</v>
      </c>
      <c r="M29" s="80">
        <v>2.5723849553101701</v>
      </c>
      <c r="N29" s="80">
        <v>0</v>
      </c>
      <c r="O29" s="80">
        <v>0</v>
      </c>
      <c r="P29" s="80">
        <v>0</v>
      </c>
      <c r="Q29" s="80">
        <v>85.200351024107206</v>
      </c>
      <c r="R29" s="80">
        <v>13.471116963850699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460.24570627507097</v>
      </c>
      <c r="Y29" s="80">
        <v>0</v>
      </c>
      <c r="Z29" s="80">
        <v>0</v>
      </c>
      <c r="AA29" s="80">
        <v>1849.5064691888199</v>
      </c>
      <c r="AB29" s="80">
        <v>0</v>
      </c>
      <c r="AC29" s="80">
        <v>0</v>
      </c>
      <c r="AD29" s="80">
        <v>23.0663437221571</v>
      </c>
      <c r="AE29" s="80">
        <v>0</v>
      </c>
      <c r="AF29" s="80">
        <v>0</v>
      </c>
      <c r="AG29" s="80">
        <v>0</v>
      </c>
      <c r="AH29" s="80">
        <v>0</v>
      </c>
      <c r="AI29" s="80">
        <v>0</v>
      </c>
      <c r="AJ29" s="80">
        <v>0</v>
      </c>
      <c r="AK29" s="80">
        <v>0</v>
      </c>
      <c r="AL29" s="80">
        <v>0</v>
      </c>
      <c r="AM29" s="80">
        <v>111.62605992623899</v>
      </c>
      <c r="AN29" s="80">
        <v>0</v>
      </c>
      <c r="AO29" s="80">
        <v>0</v>
      </c>
      <c r="AP29" s="80">
        <v>0</v>
      </c>
      <c r="AQ29" s="80">
        <v>0</v>
      </c>
      <c r="AR29" s="81">
        <v>0</v>
      </c>
    </row>
    <row r="30" spans="2:44" ht="12" customHeight="1" x14ac:dyDescent="0.25">
      <c r="B30" s="79" t="s">
        <v>41</v>
      </c>
      <c r="C30" s="80" t="s">
        <v>33</v>
      </c>
      <c r="D30" s="80" t="s">
        <v>42</v>
      </c>
      <c r="E30" s="80" t="s">
        <v>83</v>
      </c>
      <c r="F30" s="80" t="s">
        <v>25</v>
      </c>
      <c r="G30" s="80" t="s">
        <v>36</v>
      </c>
      <c r="H30" s="80" t="s">
        <v>66</v>
      </c>
      <c r="I30" s="80" t="s">
        <v>25</v>
      </c>
      <c r="J30" s="80">
        <v>1510.17</v>
      </c>
      <c r="K30" s="80">
        <v>111.63</v>
      </c>
      <c r="L30" s="80">
        <v>0</v>
      </c>
      <c r="M30" s="80">
        <v>2.5723849553101701</v>
      </c>
      <c r="N30" s="80">
        <v>0</v>
      </c>
      <c r="O30" s="80">
        <v>0</v>
      </c>
      <c r="P30" s="80">
        <v>0</v>
      </c>
      <c r="Q30" s="80">
        <v>85.200351024107206</v>
      </c>
      <c r="R30" s="80">
        <v>13.471116963850699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276.15955941350501</v>
      </c>
      <c r="Y30" s="80">
        <v>0</v>
      </c>
      <c r="Z30" s="80">
        <v>0</v>
      </c>
      <c r="AA30" s="80">
        <v>1109.7035976070099</v>
      </c>
      <c r="AB30" s="80">
        <v>0</v>
      </c>
      <c r="AC30" s="80">
        <v>0</v>
      </c>
      <c r="AD30" s="80">
        <v>23.0663437221571</v>
      </c>
      <c r="AE30" s="80">
        <v>0</v>
      </c>
      <c r="AF30" s="80">
        <v>0</v>
      </c>
      <c r="AG30" s="80">
        <v>0</v>
      </c>
      <c r="AH30" s="80">
        <v>0</v>
      </c>
      <c r="AI30" s="80">
        <v>0</v>
      </c>
      <c r="AJ30" s="80">
        <v>0</v>
      </c>
      <c r="AK30" s="80">
        <v>0</v>
      </c>
      <c r="AL30" s="80">
        <v>0</v>
      </c>
      <c r="AM30" s="80">
        <v>111.62605992623899</v>
      </c>
      <c r="AN30" s="80">
        <v>0</v>
      </c>
      <c r="AO30" s="80">
        <v>0</v>
      </c>
      <c r="AP30" s="80">
        <v>0</v>
      </c>
      <c r="AQ30" s="80">
        <v>0</v>
      </c>
      <c r="AR30" s="81">
        <v>0</v>
      </c>
    </row>
    <row r="31" spans="2:44" ht="12" customHeight="1" x14ac:dyDescent="0.25">
      <c r="B31" s="79" t="s">
        <v>41</v>
      </c>
      <c r="C31" s="80" t="s">
        <v>33</v>
      </c>
      <c r="D31" s="80" t="s">
        <v>42</v>
      </c>
      <c r="E31" s="80" t="s">
        <v>83</v>
      </c>
      <c r="F31" s="80" t="s">
        <v>25</v>
      </c>
      <c r="G31" s="80" t="s">
        <v>35</v>
      </c>
      <c r="H31" s="80" t="s">
        <v>66</v>
      </c>
      <c r="I31" s="80" t="s">
        <v>25</v>
      </c>
      <c r="J31" s="80">
        <v>586.28</v>
      </c>
      <c r="K31" s="80">
        <v>111.63</v>
      </c>
      <c r="L31" s="80">
        <v>0</v>
      </c>
      <c r="M31" s="80">
        <v>2.5723849553101701</v>
      </c>
      <c r="N31" s="80">
        <v>0</v>
      </c>
      <c r="O31" s="80">
        <v>0</v>
      </c>
      <c r="P31" s="80">
        <v>0</v>
      </c>
      <c r="Q31" s="80">
        <v>85.200351024107206</v>
      </c>
      <c r="R31" s="80">
        <v>13.471116963850699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92.073412551939398</v>
      </c>
      <c r="Y31" s="80">
        <v>0</v>
      </c>
      <c r="Z31" s="80">
        <v>0</v>
      </c>
      <c r="AA31" s="80">
        <v>369.90138119354202</v>
      </c>
      <c r="AB31" s="80">
        <v>0</v>
      </c>
      <c r="AC31" s="80">
        <v>0</v>
      </c>
      <c r="AD31" s="80">
        <v>23.0663437221571</v>
      </c>
      <c r="AE31" s="80">
        <v>0</v>
      </c>
      <c r="AF31" s="80">
        <v>0</v>
      </c>
      <c r="AG31" s="80">
        <v>0</v>
      </c>
      <c r="AH31" s="80">
        <v>0</v>
      </c>
      <c r="AI31" s="80">
        <v>0</v>
      </c>
      <c r="AJ31" s="80">
        <v>0</v>
      </c>
      <c r="AK31" s="80">
        <v>0</v>
      </c>
      <c r="AL31" s="80">
        <v>0</v>
      </c>
      <c r="AM31" s="80">
        <v>111.62605992623899</v>
      </c>
      <c r="AN31" s="80">
        <v>0</v>
      </c>
      <c r="AO31" s="80">
        <v>0</v>
      </c>
      <c r="AP31" s="80">
        <v>0</v>
      </c>
      <c r="AQ31" s="80">
        <v>0</v>
      </c>
      <c r="AR31" s="81">
        <v>0</v>
      </c>
    </row>
    <row r="32" spans="2:44" ht="12" customHeight="1" x14ac:dyDescent="0.25">
      <c r="B32" s="79" t="s">
        <v>41</v>
      </c>
      <c r="C32" s="80" t="s">
        <v>33</v>
      </c>
      <c r="D32" s="80" t="s">
        <v>42</v>
      </c>
      <c r="E32" s="80" t="s">
        <v>25</v>
      </c>
      <c r="F32" s="80" t="s">
        <v>25</v>
      </c>
      <c r="G32" s="80" t="s">
        <v>34</v>
      </c>
      <c r="H32" s="80" t="s">
        <v>66</v>
      </c>
      <c r="I32" s="80" t="s">
        <v>25</v>
      </c>
      <c r="J32" s="80">
        <v>2434.06</v>
      </c>
      <c r="K32" s="80">
        <v>111.63</v>
      </c>
      <c r="L32" s="80">
        <v>0</v>
      </c>
      <c r="M32" s="80">
        <v>2.5723849553101701</v>
      </c>
      <c r="N32" s="80">
        <v>0</v>
      </c>
      <c r="O32" s="80">
        <v>0</v>
      </c>
      <c r="P32" s="80">
        <v>0</v>
      </c>
      <c r="Q32" s="80">
        <v>85.200351024107206</v>
      </c>
      <c r="R32" s="80">
        <v>13.471116963850699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460.24570627507097</v>
      </c>
      <c r="Y32" s="80">
        <v>0</v>
      </c>
      <c r="Z32" s="80">
        <v>0</v>
      </c>
      <c r="AA32" s="80">
        <v>1849.5064691888199</v>
      </c>
      <c r="AB32" s="80">
        <v>0</v>
      </c>
      <c r="AC32" s="80">
        <v>0</v>
      </c>
      <c r="AD32" s="80">
        <v>23.0663437221571</v>
      </c>
      <c r="AE32" s="80">
        <v>0</v>
      </c>
      <c r="AF32" s="80">
        <v>0</v>
      </c>
      <c r="AG32" s="80">
        <v>0</v>
      </c>
      <c r="AH32" s="80">
        <v>0</v>
      </c>
      <c r="AI32" s="80">
        <v>0</v>
      </c>
      <c r="AJ32" s="80">
        <v>0</v>
      </c>
      <c r="AK32" s="80">
        <v>0</v>
      </c>
      <c r="AL32" s="80">
        <v>0</v>
      </c>
      <c r="AM32" s="80">
        <v>111.62605992623899</v>
      </c>
      <c r="AN32" s="80">
        <v>0</v>
      </c>
      <c r="AO32" s="80">
        <v>0</v>
      </c>
      <c r="AP32" s="80">
        <v>0</v>
      </c>
      <c r="AQ32" s="80">
        <v>0</v>
      </c>
      <c r="AR32" s="81">
        <v>0</v>
      </c>
    </row>
    <row r="33" spans="2:44" ht="12" customHeight="1" x14ac:dyDescent="0.25">
      <c r="B33" s="79" t="s">
        <v>41</v>
      </c>
      <c r="C33" s="80" t="s">
        <v>33</v>
      </c>
      <c r="D33" s="80" t="s">
        <v>42</v>
      </c>
      <c r="E33" s="80" t="s">
        <v>25</v>
      </c>
      <c r="F33" s="80" t="s">
        <v>25</v>
      </c>
      <c r="G33" s="80" t="s">
        <v>36</v>
      </c>
      <c r="H33" s="80" t="s">
        <v>66</v>
      </c>
      <c r="I33" s="80" t="s">
        <v>25</v>
      </c>
      <c r="J33" s="80">
        <v>1510.17</v>
      </c>
      <c r="K33" s="80">
        <v>111.63</v>
      </c>
      <c r="L33" s="80">
        <v>0</v>
      </c>
      <c r="M33" s="80">
        <v>2.5723849553101701</v>
      </c>
      <c r="N33" s="80">
        <v>0</v>
      </c>
      <c r="O33" s="80">
        <v>0</v>
      </c>
      <c r="P33" s="80">
        <v>0</v>
      </c>
      <c r="Q33" s="80">
        <v>85.200351024107206</v>
      </c>
      <c r="R33" s="80">
        <v>13.471116963850699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276.15955941350501</v>
      </c>
      <c r="Y33" s="80">
        <v>0</v>
      </c>
      <c r="Z33" s="80">
        <v>0</v>
      </c>
      <c r="AA33" s="80">
        <v>1109.7035976070099</v>
      </c>
      <c r="AB33" s="80">
        <v>0</v>
      </c>
      <c r="AC33" s="80">
        <v>0</v>
      </c>
      <c r="AD33" s="80">
        <v>23.0663437221571</v>
      </c>
      <c r="AE33" s="80">
        <v>0</v>
      </c>
      <c r="AF33" s="80">
        <v>0</v>
      </c>
      <c r="AG33" s="80">
        <v>0</v>
      </c>
      <c r="AH33" s="80">
        <v>0</v>
      </c>
      <c r="AI33" s="80">
        <v>0</v>
      </c>
      <c r="AJ33" s="80">
        <v>0</v>
      </c>
      <c r="AK33" s="80">
        <v>0</v>
      </c>
      <c r="AL33" s="80">
        <v>0</v>
      </c>
      <c r="AM33" s="80">
        <v>111.62605992623899</v>
      </c>
      <c r="AN33" s="80">
        <v>0</v>
      </c>
      <c r="AO33" s="80">
        <v>0</v>
      </c>
      <c r="AP33" s="80">
        <v>0</v>
      </c>
      <c r="AQ33" s="80">
        <v>0</v>
      </c>
      <c r="AR33" s="81">
        <v>0</v>
      </c>
    </row>
    <row r="34" spans="2:44" ht="12" customHeight="1" x14ac:dyDescent="0.25">
      <c r="B34" s="79" t="s">
        <v>41</v>
      </c>
      <c r="C34" s="80" t="s">
        <v>33</v>
      </c>
      <c r="D34" s="80" t="s">
        <v>42</v>
      </c>
      <c r="E34" s="80" t="s">
        <v>25</v>
      </c>
      <c r="F34" s="80" t="s">
        <v>25</v>
      </c>
      <c r="G34" s="80" t="s">
        <v>35</v>
      </c>
      <c r="H34" s="80" t="s">
        <v>66</v>
      </c>
      <c r="I34" s="80" t="s">
        <v>25</v>
      </c>
      <c r="J34" s="80">
        <v>586.28</v>
      </c>
      <c r="K34" s="80">
        <v>111.63</v>
      </c>
      <c r="L34" s="80">
        <v>0</v>
      </c>
      <c r="M34" s="80">
        <v>2.5723849553101701</v>
      </c>
      <c r="N34" s="80">
        <v>0</v>
      </c>
      <c r="O34" s="80">
        <v>0</v>
      </c>
      <c r="P34" s="80">
        <v>0</v>
      </c>
      <c r="Q34" s="80">
        <v>85.200351024107206</v>
      </c>
      <c r="R34" s="80">
        <v>13.471116963850699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92.073412551939398</v>
      </c>
      <c r="Y34" s="80">
        <v>0</v>
      </c>
      <c r="Z34" s="80">
        <v>0</v>
      </c>
      <c r="AA34" s="80">
        <v>369.90138119354202</v>
      </c>
      <c r="AB34" s="80">
        <v>0</v>
      </c>
      <c r="AC34" s="80">
        <v>0</v>
      </c>
      <c r="AD34" s="80">
        <v>23.0663437221571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111.62605992623899</v>
      </c>
      <c r="AN34" s="80">
        <v>0</v>
      </c>
      <c r="AO34" s="80">
        <v>0</v>
      </c>
      <c r="AP34" s="80">
        <v>0</v>
      </c>
      <c r="AQ34" s="80">
        <v>0</v>
      </c>
      <c r="AR34" s="81">
        <v>0</v>
      </c>
    </row>
    <row r="35" spans="2:44" ht="12" customHeight="1" x14ac:dyDescent="0.25">
      <c r="B35" s="79" t="s">
        <v>41</v>
      </c>
      <c r="C35" s="80" t="s">
        <v>33</v>
      </c>
      <c r="D35" s="80" t="s">
        <v>42</v>
      </c>
      <c r="E35" s="80" t="s">
        <v>84</v>
      </c>
      <c r="F35" s="80" t="s">
        <v>25</v>
      </c>
      <c r="G35" s="80" t="s">
        <v>34</v>
      </c>
      <c r="H35" s="80" t="s">
        <v>66</v>
      </c>
      <c r="I35" s="80" t="s">
        <v>25</v>
      </c>
      <c r="J35" s="80">
        <v>2382.27</v>
      </c>
      <c r="K35" s="80">
        <v>109.25</v>
      </c>
      <c r="L35" s="80">
        <v>0</v>
      </c>
      <c r="M35" s="80">
        <v>2.51765336051634</v>
      </c>
      <c r="N35" s="80">
        <v>0</v>
      </c>
      <c r="O35" s="80">
        <v>0</v>
      </c>
      <c r="P35" s="80">
        <v>0</v>
      </c>
      <c r="Q35" s="80">
        <v>83.387577598062407</v>
      </c>
      <c r="R35" s="80">
        <v>13.1844974539815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450.45324443943099</v>
      </c>
      <c r="Y35" s="80">
        <v>0</v>
      </c>
      <c r="Z35" s="80">
        <v>0</v>
      </c>
      <c r="AA35" s="80">
        <v>1810.1552677167199</v>
      </c>
      <c r="AB35" s="80">
        <v>0</v>
      </c>
      <c r="AC35" s="80">
        <v>0</v>
      </c>
      <c r="AD35" s="80">
        <v>22.575570451472899</v>
      </c>
      <c r="AE35" s="80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109.251037374617</v>
      </c>
      <c r="AN35" s="80">
        <v>0</v>
      </c>
      <c r="AO35" s="80">
        <v>0</v>
      </c>
      <c r="AP35" s="80">
        <v>0</v>
      </c>
      <c r="AQ35" s="80">
        <v>0</v>
      </c>
      <c r="AR35" s="81">
        <v>0</v>
      </c>
    </row>
    <row r="36" spans="2:44" ht="12" customHeight="1" x14ac:dyDescent="0.25">
      <c r="B36" s="79" t="s">
        <v>41</v>
      </c>
      <c r="C36" s="80" t="s">
        <v>33</v>
      </c>
      <c r="D36" s="80" t="s">
        <v>42</v>
      </c>
      <c r="E36" s="80" t="s">
        <v>84</v>
      </c>
      <c r="F36" s="80" t="s">
        <v>25</v>
      </c>
      <c r="G36" s="80" t="s">
        <v>36</v>
      </c>
      <c r="H36" s="80" t="s">
        <v>66</v>
      </c>
      <c r="I36" s="80" t="s">
        <v>25</v>
      </c>
      <c r="J36" s="80">
        <v>1478.04</v>
      </c>
      <c r="K36" s="80">
        <v>109.25</v>
      </c>
      <c r="L36" s="80">
        <v>0</v>
      </c>
      <c r="M36" s="80">
        <v>2.51765336051634</v>
      </c>
      <c r="N36" s="80">
        <v>0</v>
      </c>
      <c r="O36" s="80">
        <v>0</v>
      </c>
      <c r="P36" s="80">
        <v>0</v>
      </c>
      <c r="Q36" s="80">
        <v>83.387577598062407</v>
      </c>
      <c r="R36" s="80">
        <v>13.1844974539815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270.28382410683503</v>
      </c>
      <c r="Y36" s="80">
        <v>0</v>
      </c>
      <c r="Z36" s="80">
        <v>0</v>
      </c>
      <c r="AA36" s="80">
        <v>1086.0928827643099</v>
      </c>
      <c r="AB36" s="80">
        <v>0</v>
      </c>
      <c r="AC36" s="80">
        <v>0</v>
      </c>
      <c r="AD36" s="80">
        <v>22.575570451472899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109.251037374617</v>
      </c>
      <c r="AN36" s="80">
        <v>0</v>
      </c>
      <c r="AO36" s="80">
        <v>0</v>
      </c>
      <c r="AP36" s="80">
        <v>0</v>
      </c>
      <c r="AQ36" s="80">
        <v>0</v>
      </c>
      <c r="AR36" s="81">
        <v>0</v>
      </c>
    </row>
    <row r="37" spans="2:44" ht="12" customHeight="1" x14ac:dyDescent="0.25">
      <c r="B37" s="79" t="s">
        <v>41</v>
      </c>
      <c r="C37" s="80" t="s">
        <v>33</v>
      </c>
      <c r="D37" s="80" t="s">
        <v>42</v>
      </c>
      <c r="E37" s="80" t="s">
        <v>84</v>
      </c>
      <c r="F37" s="80" t="s">
        <v>25</v>
      </c>
      <c r="G37" s="80" t="s">
        <v>35</v>
      </c>
      <c r="H37" s="80" t="s">
        <v>66</v>
      </c>
      <c r="I37" s="80" t="s">
        <v>25</v>
      </c>
      <c r="J37" s="80">
        <v>573.80999999999995</v>
      </c>
      <c r="K37" s="80">
        <v>109.25</v>
      </c>
      <c r="L37" s="80">
        <v>0</v>
      </c>
      <c r="M37" s="80">
        <v>2.51765336051634</v>
      </c>
      <c r="N37" s="80">
        <v>0</v>
      </c>
      <c r="O37" s="80">
        <v>0</v>
      </c>
      <c r="P37" s="80">
        <v>0</v>
      </c>
      <c r="Q37" s="80">
        <v>83.387577598062407</v>
      </c>
      <c r="R37" s="80">
        <v>13.1844974539815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90.114403774238596</v>
      </c>
      <c r="Y37" s="80">
        <v>0</v>
      </c>
      <c r="Z37" s="80">
        <v>0</v>
      </c>
      <c r="AA37" s="80">
        <v>362.03113904048797</v>
      </c>
      <c r="AB37" s="80">
        <v>0</v>
      </c>
      <c r="AC37" s="80">
        <v>0</v>
      </c>
      <c r="AD37" s="80">
        <v>22.575570451472899</v>
      </c>
      <c r="AE37" s="80">
        <v>0</v>
      </c>
      <c r="AF37" s="80">
        <v>0</v>
      </c>
      <c r="AG37" s="80">
        <v>0</v>
      </c>
      <c r="AH37" s="80">
        <v>0</v>
      </c>
      <c r="AI37" s="80">
        <v>0</v>
      </c>
      <c r="AJ37" s="80">
        <v>0</v>
      </c>
      <c r="AK37" s="80">
        <v>0</v>
      </c>
      <c r="AL37" s="80">
        <v>0</v>
      </c>
      <c r="AM37" s="80">
        <v>109.251037374617</v>
      </c>
      <c r="AN37" s="80">
        <v>0</v>
      </c>
      <c r="AO37" s="80">
        <v>0</v>
      </c>
      <c r="AP37" s="80">
        <v>0</v>
      </c>
      <c r="AQ37" s="80">
        <v>0</v>
      </c>
      <c r="AR37" s="81">
        <v>0</v>
      </c>
    </row>
    <row r="38" spans="2:44" ht="12" customHeight="1" x14ac:dyDescent="0.25">
      <c r="B38" s="79" t="s">
        <v>41</v>
      </c>
      <c r="C38" s="80" t="s">
        <v>23</v>
      </c>
      <c r="D38" s="80" t="s">
        <v>42</v>
      </c>
      <c r="E38" s="80" t="s">
        <v>83</v>
      </c>
      <c r="F38" s="80" t="s">
        <v>25</v>
      </c>
      <c r="G38" s="80" t="s">
        <v>25</v>
      </c>
      <c r="H38" s="80" t="s">
        <v>66</v>
      </c>
      <c r="I38" s="80" t="s">
        <v>25</v>
      </c>
      <c r="J38" s="80">
        <v>803.68</v>
      </c>
      <c r="K38" s="80">
        <v>111.63</v>
      </c>
      <c r="L38" s="80">
        <v>0</v>
      </c>
      <c r="M38" s="80">
        <v>2.5723849553101701</v>
      </c>
      <c r="N38" s="80">
        <v>0</v>
      </c>
      <c r="O38" s="80">
        <v>0</v>
      </c>
      <c r="P38" s="80">
        <v>0</v>
      </c>
      <c r="Q38" s="80">
        <v>85.200351024107206</v>
      </c>
      <c r="R38" s="80">
        <v>13.471116963850699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135.402259389834</v>
      </c>
      <c r="Y38" s="80">
        <v>0</v>
      </c>
      <c r="Z38" s="80">
        <v>0</v>
      </c>
      <c r="AA38" s="80">
        <v>543.97240101282205</v>
      </c>
      <c r="AB38" s="80">
        <v>0</v>
      </c>
      <c r="AC38" s="80">
        <v>0</v>
      </c>
      <c r="AD38" s="80">
        <v>23.0663437221571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111.62605992623899</v>
      </c>
      <c r="AN38" s="80">
        <v>0</v>
      </c>
      <c r="AO38" s="80">
        <v>0</v>
      </c>
      <c r="AP38" s="80">
        <v>0</v>
      </c>
      <c r="AQ38" s="80">
        <v>0</v>
      </c>
      <c r="AR38" s="81">
        <v>0</v>
      </c>
    </row>
    <row r="39" spans="2:44" ht="12" customHeight="1" x14ac:dyDescent="0.25">
      <c r="B39" s="79" t="s">
        <v>41</v>
      </c>
      <c r="C39" s="80" t="s">
        <v>23</v>
      </c>
      <c r="D39" s="80" t="s">
        <v>42</v>
      </c>
      <c r="E39" s="80" t="s">
        <v>25</v>
      </c>
      <c r="F39" s="80" t="s">
        <v>25</v>
      </c>
      <c r="G39" s="80" t="s">
        <v>25</v>
      </c>
      <c r="H39" s="80" t="s">
        <v>66</v>
      </c>
      <c r="I39" s="80" t="s">
        <v>25</v>
      </c>
      <c r="J39" s="80">
        <v>803.68</v>
      </c>
      <c r="K39" s="80">
        <v>111.63</v>
      </c>
      <c r="L39" s="80">
        <v>0</v>
      </c>
      <c r="M39" s="80">
        <v>2.5723849553101701</v>
      </c>
      <c r="N39" s="80">
        <v>0</v>
      </c>
      <c r="O39" s="80">
        <v>0</v>
      </c>
      <c r="P39" s="80">
        <v>0</v>
      </c>
      <c r="Q39" s="80">
        <v>85.200351024107206</v>
      </c>
      <c r="R39" s="80">
        <v>13.471116963850699</v>
      </c>
      <c r="S39" s="80">
        <v>0</v>
      </c>
      <c r="T39" s="80">
        <v>0</v>
      </c>
      <c r="U39" s="80">
        <v>0</v>
      </c>
      <c r="V39" s="80">
        <v>0</v>
      </c>
      <c r="W39" s="80">
        <v>0</v>
      </c>
      <c r="X39" s="80">
        <v>135.402259389834</v>
      </c>
      <c r="Y39" s="80">
        <v>0</v>
      </c>
      <c r="Z39" s="80">
        <v>0</v>
      </c>
      <c r="AA39" s="80">
        <v>543.97240101282205</v>
      </c>
      <c r="AB39" s="80">
        <v>0</v>
      </c>
      <c r="AC39" s="80">
        <v>0</v>
      </c>
      <c r="AD39" s="80">
        <v>23.0663437221571</v>
      </c>
      <c r="AE39" s="80">
        <v>0</v>
      </c>
      <c r="AF39" s="80">
        <v>0</v>
      </c>
      <c r="AG39" s="80">
        <v>0</v>
      </c>
      <c r="AH39" s="80">
        <v>0</v>
      </c>
      <c r="AI39" s="80">
        <v>0</v>
      </c>
      <c r="AJ39" s="80">
        <v>0</v>
      </c>
      <c r="AK39" s="80">
        <v>0</v>
      </c>
      <c r="AL39" s="80">
        <v>0</v>
      </c>
      <c r="AM39" s="80">
        <v>111.62605992623899</v>
      </c>
      <c r="AN39" s="80">
        <v>0</v>
      </c>
      <c r="AO39" s="80">
        <v>0</v>
      </c>
      <c r="AP39" s="80">
        <v>0</v>
      </c>
      <c r="AQ39" s="80">
        <v>0</v>
      </c>
      <c r="AR39" s="81">
        <v>0</v>
      </c>
    </row>
    <row r="40" spans="2:44" ht="12" customHeight="1" x14ac:dyDescent="0.25">
      <c r="B40" s="79" t="s">
        <v>41</v>
      </c>
      <c r="C40" s="80" t="s">
        <v>23</v>
      </c>
      <c r="D40" s="80" t="s">
        <v>42</v>
      </c>
      <c r="E40" s="80" t="s">
        <v>84</v>
      </c>
      <c r="F40" s="80" t="s">
        <v>25</v>
      </c>
      <c r="G40" s="80" t="s">
        <v>25</v>
      </c>
      <c r="H40" s="80" t="s">
        <v>66</v>
      </c>
      <c r="I40" s="80" t="s">
        <v>25</v>
      </c>
      <c r="J40" s="80">
        <v>786.59</v>
      </c>
      <c r="K40" s="80">
        <v>109.25</v>
      </c>
      <c r="L40" s="80">
        <v>0</v>
      </c>
      <c r="M40" s="80">
        <v>2.51765336051634</v>
      </c>
      <c r="N40" s="80">
        <v>0</v>
      </c>
      <c r="O40" s="80">
        <v>0</v>
      </c>
      <c r="P40" s="80">
        <v>0</v>
      </c>
      <c r="Q40" s="80">
        <v>83.387577598062407</v>
      </c>
      <c r="R40" s="80">
        <v>13.1844974539815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132.52136025388</v>
      </c>
      <c r="Y40" s="80">
        <v>0</v>
      </c>
      <c r="Z40" s="80">
        <v>0</v>
      </c>
      <c r="AA40" s="80">
        <v>532.39852014020903</v>
      </c>
      <c r="AB40" s="80">
        <v>0</v>
      </c>
      <c r="AC40" s="80">
        <v>0</v>
      </c>
      <c r="AD40" s="80">
        <v>22.575570451472899</v>
      </c>
      <c r="AE40" s="80">
        <v>0</v>
      </c>
      <c r="AF40" s="80">
        <v>0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109.251037374617</v>
      </c>
      <c r="AN40" s="80">
        <v>0</v>
      </c>
      <c r="AO40" s="80">
        <v>0</v>
      </c>
      <c r="AP40" s="80">
        <v>0</v>
      </c>
      <c r="AQ40" s="80">
        <v>0</v>
      </c>
      <c r="AR40" s="81">
        <v>0</v>
      </c>
    </row>
    <row r="41" spans="2:44" ht="12" customHeight="1" x14ac:dyDescent="0.25">
      <c r="B41" s="79" t="s">
        <v>41</v>
      </c>
      <c r="C41" s="80" t="s">
        <v>82</v>
      </c>
      <c r="D41" s="80" t="s">
        <v>42</v>
      </c>
      <c r="E41" s="80" t="s">
        <v>83</v>
      </c>
      <c r="F41" s="80" t="s">
        <v>25</v>
      </c>
      <c r="G41" s="80" t="s">
        <v>25</v>
      </c>
      <c r="H41" s="80" t="s">
        <v>66</v>
      </c>
      <c r="I41" s="80" t="s">
        <v>25</v>
      </c>
      <c r="J41" s="80">
        <v>803.68</v>
      </c>
      <c r="K41" s="80">
        <v>111.63</v>
      </c>
      <c r="L41" s="80">
        <v>0</v>
      </c>
      <c r="M41" s="80">
        <v>2.5723849553101701</v>
      </c>
      <c r="N41" s="80">
        <v>0</v>
      </c>
      <c r="O41" s="80">
        <v>0</v>
      </c>
      <c r="P41" s="80">
        <v>0</v>
      </c>
      <c r="Q41" s="80">
        <v>85.200351024107206</v>
      </c>
      <c r="R41" s="80">
        <v>13.471116963850699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>
        <v>135.402259389834</v>
      </c>
      <c r="Y41" s="80">
        <v>0</v>
      </c>
      <c r="Z41" s="80">
        <v>0</v>
      </c>
      <c r="AA41" s="80">
        <v>543.97240101282205</v>
      </c>
      <c r="AB41" s="80">
        <v>0</v>
      </c>
      <c r="AC41" s="80">
        <v>0</v>
      </c>
      <c r="AD41" s="80">
        <v>23.0663437221571</v>
      </c>
      <c r="AE41" s="80">
        <v>0</v>
      </c>
      <c r="AF41" s="80">
        <v>0</v>
      </c>
      <c r="AG41" s="80">
        <v>0</v>
      </c>
      <c r="AH41" s="80">
        <v>0</v>
      </c>
      <c r="AI41" s="80">
        <v>0</v>
      </c>
      <c r="AJ41" s="80">
        <v>0</v>
      </c>
      <c r="AK41" s="80">
        <v>0</v>
      </c>
      <c r="AL41" s="80">
        <v>0</v>
      </c>
      <c r="AM41" s="80">
        <v>111.62605992623899</v>
      </c>
      <c r="AN41" s="80">
        <v>0</v>
      </c>
      <c r="AO41" s="80">
        <v>0</v>
      </c>
      <c r="AP41" s="80">
        <v>0</v>
      </c>
      <c r="AQ41" s="80">
        <v>0</v>
      </c>
      <c r="AR41" s="81">
        <v>0</v>
      </c>
    </row>
    <row r="42" spans="2:44" ht="12" customHeight="1" x14ac:dyDescent="0.25">
      <c r="B42" s="79" t="s">
        <v>41</v>
      </c>
      <c r="C42" s="80" t="s">
        <v>82</v>
      </c>
      <c r="D42" s="80" t="s">
        <v>42</v>
      </c>
      <c r="E42" s="80" t="s">
        <v>25</v>
      </c>
      <c r="F42" s="80" t="s">
        <v>25</v>
      </c>
      <c r="G42" s="80" t="s">
        <v>25</v>
      </c>
      <c r="H42" s="80" t="s">
        <v>66</v>
      </c>
      <c r="I42" s="80" t="s">
        <v>25</v>
      </c>
      <c r="J42" s="80">
        <v>803.68</v>
      </c>
      <c r="K42" s="80">
        <v>111.63</v>
      </c>
      <c r="L42" s="80">
        <v>0</v>
      </c>
      <c r="M42" s="80">
        <v>2.5723849553101701</v>
      </c>
      <c r="N42" s="80">
        <v>0</v>
      </c>
      <c r="O42" s="80">
        <v>0</v>
      </c>
      <c r="P42" s="80">
        <v>0</v>
      </c>
      <c r="Q42" s="80">
        <v>85.200351024107206</v>
      </c>
      <c r="R42" s="80">
        <v>13.471116963850699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135.402259389834</v>
      </c>
      <c r="Y42" s="80">
        <v>0</v>
      </c>
      <c r="Z42" s="80">
        <v>0</v>
      </c>
      <c r="AA42" s="80">
        <v>543.97240101282205</v>
      </c>
      <c r="AB42" s="80">
        <v>0</v>
      </c>
      <c r="AC42" s="80">
        <v>0</v>
      </c>
      <c r="AD42" s="80">
        <v>23.0663437221571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111.62605992623899</v>
      </c>
      <c r="AN42" s="80">
        <v>0</v>
      </c>
      <c r="AO42" s="80">
        <v>0</v>
      </c>
      <c r="AP42" s="80">
        <v>0</v>
      </c>
      <c r="AQ42" s="80">
        <v>0</v>
      </c>
      <c r="AR42" s="81">
        <v>0</v>
      </c>
    </row>
    <row r="43" spans="2:44" ht="12" customHeight="1" x14ac:dyDescent="0.25">
      <c r="B43" s="79" t="s">
        <v>41</v>
      </c>
      <c r="C43" s="80" t="s">
        <v>82</v>
      </c>
      <c r="D43" s="80" t="s">
        <v>42</v>
      </c>
      <c r="E43" s="80" t="s">
        <v>84</v>
      </c>
      <c r="F43" s="80" t="s">
        <v>25</v>
      </c>
      <c r="G43" s="80" t="s">
        <v>25</v>
      </c>
      <c r="H43" s="80" t="s">
        <v>66</v>
      </c>
      <c r="I43" s="80" t="s">
        <v>25</v>
      </c>
      <c r="J43" s="80">
        <v>786.59</v>
      </c>
      <c r="K43" s="80">
        <v>109.25</v>
      </c>
      <c r="L43" s="80">
        <v>0</v>
      </c>
      <c r="M43" s="80">
        <v>2.51765336051634</v>
      </c>
      <c r="N43" s="80">
        <v>0</v>
      </c>
      <c r="O43" s="80">
        <v>0</v>
      </c>
      <c r="P43" s="80">
        <v>0</v>
      </c>
      <c r="Q43" s="80">
        <v>83.387577598062407</v>
      </c>
      <c r="R43" s="80">
        <v>13.1844974539815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132.52136025388</v>
      </c>
      <c r="Y43" s="80">
        <v>0</v>
      </c>
      <c r="Z43" s="80">
        <v>0</v>
      </c>
      <c r="AA43" s="80">
        <v>532.39852014020903</v>
      </c>
      <c r="AB43" s="80">
        <v>0</v>
      </c>
      <c r="AC43" s="80">
        <v>0</v>
      </c>
      <c r="AD43" s="80">
        <v>22.575570451472899</v>
      </c>
      <c r="AE43" s="80">
        <v>0</v>
      </c>
      <c r="AF43" s="80">
        <v>0</v>
      </c>
      <c r="AG43" s="80">
        <v>0</v>
      </c>
      <c r="AH43" s="80">
        <v>0</v>
      </c>
      <c r="AI43" s="80">
        <v>0</v>
      </c>
      <c r="AJ43" s="80">
        <v>0</v>
      </c>
      <c r="AK43" s="80">
        <v>0</v>
      </c>
      <c r="AL43" s="80">
        <v>0</v>
      </c>
      <c r="AM43" s="80">
        <v>109.251037374617</v>
      </c>
      <c r="AN43" s="80">
        <v>0</v>
      </c>
      <c r="AO43" s="80">
        <v>0</v>
      </c>
      <c r="AP43" s="80">
        <v>0</v>
      </c>
      <c r="AQ43" s="80">
        <v>0</v>
      </c>
      <c r="AR43" s="81">
        <v>0</v>
      </c>
    </row>
    <row r="44" spans="2:44" ht="12" customHeight="1" x14ac:dyDescent="0.25">
      <c r="B44" s="79" t="s">
        <v>37</v>
      </c>
      <c r="C44" s="80" t="s">
        <v>33</v>
      </c>
      <c r="D44" s="80" t="s">
        <v>25</v>
      </c>
      <c r="E44" s="80" t="s">
        <v>25</v>
      </c>
      <c r="F44" s="80" t="s">
        <v>25</v>
      </c>
      <c r="G44" s="80" t="s">
        <v>34</v>
      </c>
      <c r="H44" s="80" t="s">
        <v>66</v>
      </c>
      <c r="I44" s="80" t="s">
        <v>25</v>
      </c>
      <c r="J44" s="80">
        <v>2625.61</v>
      </c>
      <c r="K44" s="80">
        <v>118.75</v>
      </c>
      <c r="L44" s="80">
        <v>0</v>
      </c>
      <c r="M44" s="80">
        <v>2.73657973969167</v>
      </c>
      <c r="N44" s="80">
        <v>0</v>
      </c>
      <c r="O44" s="80">
        <v>0</v>
      </c>
      <c r="P44" s="80">
        <v>0</v>
      </c>
      <c r="Q44" s="80">
        <v>90.638671302241704</v>
      </c>
      <c r="R44" s="80">
        <v>14.330975493458199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496.87378604742997</v>
      </c>
      <c r="Y44" s="80">
        <v>0</v>
      </c>
      <c r="Z44" s="80">
        <v>0</v>
      </c>
      <c r="AA44" s="80">
        <v>1996.4944679504699</v>
      </c>
      <c r="AB44" s="80">
        <v>0</v>
      </c>
      <c r="AC44" s="80">
        <v>0</v>
      </c>
      <c r="AD44" s="80">
        <v>24.5386635342097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118.751127581106</v>
      </c>
      <c r="AN44" s="80">
        <v>0</v>
      </c>
      <c r="AO44" s="80">
        <v>0</v>
      </c>
      <c r="AP44" s="80">
        <v>0</v>
      </c>
      <c r="AQ44" s="80">
        <v>0</v>
      </c>
      <c r="AR44" s="81">
        <v>0</v>
      </c>
    </row>
    <row r="45" spans="2:44" ht="12" customHeight="1" x14ac:dyDescent="0.25">
      <c r="B45" s="79" t="s">
        <v>37</v>
      </c>
      <c r="C45" s="80" t="s">
        <v>33</v>
      </c>
      <c r="D45" s="80" t="s">
        <v>25</v>
      </c>
      <c r="E45" s="80" t="s">
        <v>25</v>
      </c>
      <c r="F45" s="80" t="s">
        <v>25</v>
      </c>
      <c r="G45" s="80" t="s">
        <v>36</v>
      </c>
      <c r="H45" s="80" t="s">
        <v>66</v>
      </c>
      <c r="I45" s="80" t="s">
        <v>25</v>
      </c>
      <c r="J45" s="80">
        <v>1628.2</v>
      </c>
      <c r="K45" s="80">
        <v>118.75</v>
      </c>
      <c r="L45" s="80">
        <v>0</v>
      </c>
      <c r="M45" s="80">
        <v>2.73657973969167</v>
      </c>
      <c r="N45" s="80">
        <v>0</v>
      </c>
      <c r="O45" s="80">
        <v>0</v>
      </c>
      <c r="P45" s="80">
        <v>0</v>
      </c>
      <c r="Q45" s="80">
        <v>90.638671302241704</v>
      </c>
      <c r="R45" s="80">
        <v>14.330975493458199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298.05953587450102</v>
      </c>
      <c r="Y45" s="80">
        <v>0</v>
      </c>
      <c r="Z45" s="80">
        <v>0</v>
      </c>
      <c r="AA45" s="80">
        <v>1197.89677370196</v>
      </c>
      <c r="AB45" s="80">
        <v>0</v>
      </c>
      <c r="AC45" s="80">
        <v>0</v>
      </c>
      <c r="AD45" s="80">
        <v>24.5386635342097</v>
      </c>
      <c r="AE45" s="80">
        <v>0</v>
      </c>
      <c r="AF45" s="80">
        <v>0</v>
      </c>
      <c r="AG45" s="80">
        <v>0</v>
      </c>
      <c r="AH45" s="80">
        <v>0</v>
      </c>
      <c r="AI45" s="80">
        <v>0</v>
      </c>
      <c r="AJ45" s="80">
        <v>0</v>
      </c>
      <c r="AK45" s="80">
        <v>0</v>
      </c>
      <c r="AL45" s="80">
        <v>0</v>
      </c>
      <c r="AM45" s="80">
        <v>118.751127581106</v>
      </c>
      <c r="AN45" s="80">
        <v>0</v>
      </c>
      <c r="AO45" s="80">
        <v>0</v>
      </c>
      <c r="AP45" s="80">
        <v>0</v>
      </c>
      <c r="AQ45" s="80">
        <v>0</v>
      </c>
      <c r="AR45" s="81">
        <v>0</v>
      </c>
    </row>
    <row r="46" spans="2:44" ht="12" customHeight="1" x14ac:dyDescent="0.25">
      <c r="B46" s="79" t="s">
        <v>37</v>
      </c>
      <c r="C46" s="80" t="s">
        <v>33</v>
      </c>
      <c r="D46" s="80" t="s">
        <v>25</v>
      </c>
      <c r="E46" s="80" t="s">
        <v>25</v>
      </c>
      <c r="F46" s="80" t="s">
        <v>25</v>
      </c>
      <c r="G46" s="80" t="s">
        <v>35</v>
      </c>
      <c r="H46" s="80" t="s">
        <v>66</v>
      </c>
      <c r="I46" s="80" t="s">
        <v>25</v>
      </c>
      <c r="J46" s="80">
        <v>630.91999999999996</v>
      </c>
      <c r="K46" s="80">
        <v>118.75</v>
      </c>
      <c r="L46" s="80">
        <v>0</v>
      </c>
      <c r="M46" s="80">
        <v>2.73657973969167</v>
      </c>
      <c r="N46" s="80">
        <v>0</v>
      </c>
      <c r="O46" s="80">
        <v>0</v>
      </c>
      <c r="P46" s="80">
        <v>0</v>
      </c>
      <c r="Q46" s="80">
        <v>90.638671302241704</v>
      </c>
      <c r="R46" s="80">
        <v>14.330975493458199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99.374783556964303</v>
      </c>
      <c r="Y46" s="80">
        <v>0</v>
      </c>
      <c r="Z46" s="80">
        <v>0</v>
      </c>
      <c r="AA46" s="80">
        <v>399.29884712425502</v>
      </c>
      <c r="AB46" s="80">
        <v>0</v>
      </c>
      <c r="AC46" s="80">
        <v>0</v>
      </c>
      <c r="AD46" s="80">
        <v>24.5386635342097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80">
        <v>0</v>
      </c>
      <c r="AL46" s="80">
        <v>0</v>
      </c>
      <c r="AM46" s="80">
        <v>118.751127581106</v>
      </c>
      <c r="AN46" s="80">
        <v>0</v>
      </c>
      <c r="AO46" s="80">
        <v>0</v>
      </c>
      <c r="AP46" s="80">
        <v>0</v>
      </c>
      <c r="AQ46" s="80">
        <v>0</v>
      </c>
      <c r="AR46" s="81">
        <v>0</v>
      </c>
    </row>
    <row r="47" spans="2:44" ht="12" customHeight="1" x14ac:dyDescent="0.25">
      <c r="B47" s="79" t="s">
        <v>37</v>
      </c>
      <c r="C47" s="80" t="s">
        <v>23</v>
      </c>
      <c r="D47" s="80" t="s">
        <v>25</v>
      </c>
      <c r="E47" s="80" t="s">
        <v>25</v>
      </c>
      <c r="F47" s="80" t="s">
        <v>25</v>
      </c>
      <c r="G47" s="80" t="s">
        <v>25</v>
      </c>
      <c r="H47" s="80" t="s">
        <v>66</v>
      </c>
      <c r="I47" s="80" t="s">
        <v>25</v>
      </c>
      <c r="J47" s="80">
        <v>854.98</v>
      </c>
      <c r="K47" s="80">
        <v>118.75</v>
      </c>
      <c r="L47" s="80">
        <v>0</v>
      </c>
      <c r="M47" s="80">
        <v>2.73657973969167</v>
      </c>
      <c r="N47" s="80">
        <v>0</v>
      </c>
      <c r="O47" s="80">
        <v>0</v>
      </c>
      <c r="P47" s="80">
        <v>0</v>
      </c>
      <c r="Q47" s="80">
        <v>90.638671302241704</v>
      </c>
      <c r="R47" s="80">
        <v>14.330975493458199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144.04495679769599</v>
      </c>
      <c r="Y47" s="80">
        <v>0</v>
      </c>
      <c r="Z47" s="80">
        <v>0</v>
      </c>
      <c r="AA47" s="80">
        <v>578.69404363066201</v>
      </c>
      <c r="AB47" s="80">
        <v>0</v>
      </c>
      <c r="AC47" s="80">
        <v>0</v>
      </c>
      <c r="AD47" s="80">
        <v>24.5386635342097</v>
      </c>
      <c r="AE47" s="80">
        <v>0</v>
      </c>
      <c r="AF47" s="80">
        <v>0</v>
      </c>
      <c r="AG47" s="80">
        <v>0</v>
      </c>
      <c r="AH47" s="80">
        <v>0</v>
      </c>
      <c r="AI47" s="80">
        <v>0</v>
      </c>
      <c r="AJ47" s="80">
        <v>0</v>
      </c>
      <c r="AK47" s="80">
        <v>0</v>
      </c>
      <c r="AL47" s="80">
        <v>0</v>
      </c>
      <c r="AM47" s="80">
        <v>118.751127581106</v>
      </c>
      <c r="AN47" s="80">
        <v>0</v>
      </c>
      <c r="AO47" s="80">
        <v>0</v>
      </c>
      <c r="AP47" s="80">
        <v>0</v>
      </c>
      <c r="AQ47" s="80">
        <v>0</v>
      </c>
      <c r="AR47" s="81">
        <v>0</v>
      </c>
    </row>
    <row r="48" spans="2:44" ht="12" customHeight="1" x14ac:dyDescent="0.25">
      <c r="B48" s="79" t="s">
        <v>37</v>
      </c>
      <c r="C48" s="80" t="s">
        <v>82</v>
      </c>
      <c r="D48" s="80" t="s">
        <v>25</v>
      </c>
      <c r="E48" s="80" t="s">
        <v>25</v>
      </c>
      <c r="F48" s="80" t="s">
        <v>25</v>
      </c>
      <c r="G48" s="80" t="s">
        <v>25</v>
      </c>
      <c r="H48" s="80" t="s">
        <v>66</v>
      </c>
      <c r="I48" s="80" t="s">
        <v>25</v>
      </c>
      <c r="J48" s="80">
        <v>854.98</v>
      </c>
      <c r="K48" s="80">
        <v>118.75</v>
      </c>
      <c r="L48" s="80">
        <v>0</v>
      </c>
      <c r="M48" s="80">
        <v>2.73657973969167</v>
      </c>
      <c r="N48" s="80">
        <v>0</v>
      </c>
      <c r="O48" s="80">
        <v>0</v>
      </c>
      <c r="P48" s="80">
        <v>0</v>
      </c>
      <c r="Q48" s="80">
        <v>90.638671302241704</v>
      </c>
      <c r="R48" s="80">
        <v>14.330975493458199</v>
      </c>
      <c r="S48" s="80">
        <v>0</v>
      </c>
      <c r="T48" s="80">
        <v>0</v>
      </c>
      <c r="U48" s="80">
        <v>0</v>
      </c>
      <c r="V48" s="80">
        <v>0</v>
      </c>
      <c r="W48" s="80">
        <v>0</v>
      </c>
      <c r="X48" s="80">
        <v>144.04495679769599</v>
      </c>
      <c r="Y48" s="80">
        <v>0</v>
      </c>
      <c r="Z48" s="80">
        <v>0</v>
      </c>
      <c r="AA48" s="80">
        <v>578.69404363066201</v>
      </c>
      <c r="AB48" s="80">
        <v>0</v>
      </c>
      <c r="AC48" s="80">
        <v>0</v>
      </c>
      <c r="AD48" s="80">
        <v>24.5386635342097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118.751127581106</v>
      </c>
      <c r="AN48" s="80">
        <v>0</v>
      </c>
      <c r="AO48" s="80">
        <v>0</v>
      </c>
      <c r="AP48" s="80">
        <v>0</v>
      </c>
      <c r="AQ48" s="80">
        <v>0</v>
      </c>
      <c r="AR48" s="81">
        <v>0</v>
      </c>
    </row>
    <row r="49" spans="2:44" ht="12" customHeight="1" x14ac:dyDescent="0.25">
      <c r="B49" s="79" t="s">
        <v>44</v>
      </c>
      <c r="C49" s="80" t="s">
        <v>23</v>
      </c>
      <c r="D49" s="80" t="s">
        <v>45</v>
      </c>
      <c r="E49" s="80" t="s">
        <v>46</v>
      </c>
      <c r="F49" s="80" t="s">
        <v>25</v>
      </c>
      <c r="G49" s="80" t="s">
        <v>25</v>
      </c>
      <c r="H49" s="80" t="s">
        <v>66</v>
      </c>
      <c r="I49" s="80" t="s">
        <v>25</v>
      </c>
      <c r="J49" s="80">
        <v>470.24</v>
      </c>
      <c r="K49" s="80">
        <v>65.31</v>
      </c>
      <c r="L49" s="80">
        <v>0</v>
      </c>
      <c r="M49" s="80">
        <v>1.5051188568304199</v>
      </c>
      <c r="N49" s="80">
        <v>0</v>
      </c>
      <c r="O49" s="80">
        <v>0</v>
      </c>
      <c r="P49" s="80">
        <v>0</v>
      </c>
      <c r="Q49" s="80">
        <v>49.8512692162329</v>
      </c>
      <c r="R49" s="80">
        <v>7.8820365214020001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79.2247262387326</v>
      </c>
      <c r="Y49" s="80">
        <v>0</v>
      </c>
      <c r="Z49" s="80">
        <v>0</v>
      </c>
      <c r="AA49" s="80">
        <v>318.281723996864</v>
      </c>
      <c r="AB49" s="80">
        <v>0</v>
      </c>
      <c r="AC49" s="80">
        <v>0</v>
      </c>
      <c r="AD49" s="80">
        <v>13.4962649438153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65.313120169608098</v>
      </c>
      <c r="AN49" s="80">
        <v>0</v>
      </c>
      <c r="AO49" s="80">
        <v>0</v>
      </c>
      <c r="AP49" s="80">
        <v>0</v>
      </c>
      <c r="AQ49" s="80">
        <v>0</v>
      </c>
      <c r="AR49" s="81">
        <v>0</v>
      </c>
    </row>
    <row r="50" spans="2:44" ht="12" customHeight="1" x14ac:dyDescent="0.25">
      <c r="B50" s="82" t="s">
        <v>44</v>
      </c>
      <c r="C50" s="83" t="s">
        <v>23</v>
      </c>
      <c r="D50" s="83" t="s">
        <v>45</v>
      </c>
      <c r="E50" s="83" t="s">
        <v>85</v>
      </c>
      <c r="F50" s="83" t="s">
        <v>25</v>
      </c>
      <c r="G50" s="83" t="s">
        <v>25</v>
      </c>
      <c r="H50" s="83" t="s">
        <v>66</v>
      </c>
      <c r="I50" s="83" t="s">
        <v>25</v>
      </c>
      <c r="J50" s="83">
        <v>512.99</v>
      </c>
      <c r="K50" s="83">
        <v>71.25</v>
      </c>
      <c r="L50" s="83">
        <v>0</v>
      </c>
      <c r="M50" s="83">
        <v>1.6419478438149999</v>
      </c>
      <c r="N50" s="83">
        <v>0</v>
      </c>
      <c r="O50" s="83">
        <v>0</v>
      </c>
      <c r="P50" s="83">
        <v>0</v>
      </c>
      <c r="Q50" s="83">
        <v>54.383202781344998</v>
      </c>
      <c r="R50" s="83">
        <v>8.5985852960749103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86.426974078617306</v>
      </c>
      <c r="Y50" s="83">
        <v>0</v>
      </c>
      <c r="Z50" s="83">
        <v>0</v>
      </c>
      <c r="AA50" s="83">
        <v>347.216426178397</v>
      </c>
      <c r="AB50" s="83">
        <v>0</v>
      </c>
      <c r="AC50" s="83">
        <v>0</v>
      </c>
      <c r="AD50" s="83">
        <v>14.723198120525799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71.250676548663293</v>
      </c>
      <c r="AN50" s="83">
        <v>0</v>
      </c>
      <c r="AO50" s="83">
        <v>0</v>
      </c>
      <c r="AP50" s="83">
        <v>0</v>
      </c>
      <c r="AQ50" s="83">
        <v>0</v>
      </c>
      <c r="AR50" s="84">
        <v>0</v>
      </c>
    </row>
  </sheetData>
  <mergeCells count="8">
    <mergeCell ref="L1:AG1"/>
    <mergeCell ref="AH1:AR1"/>
    <mergeCell ref="L2:S2"/>
    <mergeCell ref="T2:Z2"/>
    <mergeCell ref="AB2:AC2"/>
    <mergeCell ref="AD2:AG2"/>
    <mergeCell ref="AH2:AL2"/>
    <mergeCell ref="AN2:AQ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244F-CF22-4834-9D9F-C2FE6832C7BF}">
  <dimension ref="A1:AX86"/>
  <sheetViews>
    <sheetView showGridLines="0" workbookViewId="0"/>
  </sheetViews>
  <sheetFormatPr defaultRowHeight="11.25" x14ac:dyDescent="0.25"/>
  <cols>
    <col min="1" max="1" width="4.7109375" style="8" bestFit="1" customWidth="1"/>
    <col min="2" max="2" width="8.85546875" style="8" bestFit="1" customWidth="1"/>
    <col min="3" max="3" width="8.7109375" style="8" bestFit="1" customWidth="1"/>
    <col min="4" max="4" width="27.140625" style="8" bestFit="1" customWidth="1"/>
    <col min="5" max="5" width="13.5703125" style="8" bestFit="1" customWidth="1"/>
    <col min="6" max="6" width="25.140625" style="8" bestFit="1" customWidth="1"/>
    <col min="7" max="9" width="10.28515625" style="8" bestFit="1" customWidth="1"/>
    <col min="10" max="10" width="6.85546875" style="8" bestFit="1" customWidth="1"/>
    <col min="11" max="11" width="4.5703125" style="8" bestFit="1" customWidth="1"/>
    <col min="12" max="12" width="4.42578125" style="8" bestFit="1" customWidth="1"/>
    <col min="13" max="13" width="6.7109375" style="8" bestFit="1" customWidth="1"/>
    <col min="14" max="14" width="6.28515625" style="8" bestFit="1" customWidth="1"/>
    <col min="15" max="15" width="11.140625" style="8" bestFit="1" customWidth="1"/>
    <col min="16" max="16" width="10.42578125" style="8" bestFit="1" customWidth="1"/>
    <col min="17" max="16384" width="9.140625" style="8"/>
  </cols>
  <sheetData>
    <row r="1" spans="1:50" ht="11.25" customHeight="1" x14ac:dyDescent="0.25">
      <c r="A1" s="36" t="s">
        <v>547</v>
      </c>
      <c r="B1" s="36" t="s">
        <v>538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539</v>
      </c>
      <c r="K1" s="36" t="s">
        <v>540</v>
      </c>
      <c r="L1" s="36" t="s">
        <v>541</v>
      </c>
      <c r="M1" s="36" t="s">
        <v>542</v>
      </c>
      <c r="N1" s="36" t="s">
        <v>543</v>
      </c>
      <c r="O1" s="36" t="s">
        <v>419</v>
      </c>
      <c r="P1" s="36" t="s">
        <v>405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t="11.25" customHeight="1" x14ac:dyDescent="0.25">
      <c r="A2" s="37">
        <v>1</v>
      </c>
      <c r="B2" s="37" t="s">
        <v>399</v>
      </c>
      <c r="C2" s="37" t="s">
        <v>39</v>
      </c>
      <c r="D2" s="37" t="s">
        <v>71</v>
      </c>
      <c r="E2" s="37" t="s">
        <v>25</v>
      </c>
      <c r="F2" s="37" t="s">
        <v>25</v>
      </c>
      <c r="G2" s="37" t="s">
        <v>25</v>
      </c>
      <c r="H2" s="37" t="s">
        <v>25</v>
      </c>
      <c r="I2" s="37" t="s">
        <v>25</v>
      </c>
      <c r="J2" s="37" t="s">
        <v>544</v>
      </c>
      <c r="K2" s="37" t="s">
        <v>545</v>
      </c>
      <c r="L2" s="37" t="s">
        <v>66</v>
      </c>
      <c r="M2" s="37">
        <v>2021</v>
      </c>
      <c r="N2" s="37">
        <v>0</v>
      </c>
      <c r="O2" s="37">
        <v>67.53</v>
      </c>
      <c r="P2" s="37">
        <v>51.9252420299606</v>
      </c>
    </row>
    <row r="3" spans="1:50" ht="11.25" customHeight="1" x14ac:dyDescent="0.25">
      <c r="A3" s="37">
        <v>2</v>
      </c>
      <c r="B3" s="37" t="s">
        <v>399</v>
      </c>
      <c r="C3" s="37" t="s">
        <v>22</v>
      </c>
      <c r="D3" s="37" t="s">
        <v>23</v>
      </c>
      <c r="E3" s="37" t="s">
        <v>24</v>
      </c>
      <c r="F3" s="37" t="s">
        <v>29</v>
      </c>
      <c r="G3" s="37" t="s">
        <v>25</v>
      </c>
      <c r="H3" s="37" t="s">
        <v>25</v>
      </c>
      <c r="I3" s="37" t="s">
        <v>25</v>
      </c>
      <c r="J3" s="37" t="s">
        <v>544</v>
      </c>
      <c r="K3" s="37" t="s">
        <v>545</v>
      </c>
      <c r="L3" s="37" t="s">
        <v>66</v>
      </c>
      <c r="M3" s="37">
        <v>2021</v>
      </c>
      <c r="N3" s="37">
        <v>0</v>
      </c>
      <c r="O3" s="37">
        <v>170.76</v>
      </c>
      <c r="P3" s="37">
        <v>0</v>
      </c>
    </row>
    <row r="4" spans="1:50" ht="11.25" customHeight="1" x14ac:dyDescent="0.25">
      <c r="A4" s="37">
        <v>3</v>
      </c>
      <c r="B4" s="37" t="s">
        <v>399</v>
      </c>
      <c r="C4" s="37" t="s">
        <v>39</v>
      </c>
      <c r="D4" s="37" t="s">
        <v>40</v>
      </c>
      <c r="E4" s="37" t="s">
        <v>25</v>
      </c>
      <c r="F4" s="37" t="s">
        <v>25</v>
      </c>
      <c r="G4" s="37" t="s">
        <v>25</v>
      </c>
      <c r="H4" s="37" t="s">
        <v>25</v>
      </c>
      <c r="I4" s="37" t="s">
        <v>25</v>
      </c>
      <c r="J4" s="37" t="s">
        <v>546</v>
      </c>
      <c r="K4" s="37" t="s">
        <v>545</v>
      </c>
      <c r="L4" s="37" t="s">
        <v>72</v>
      </c>
      <c r="M4" s="37">
        <v>2021</v>
      </c>
      <c r="N4" s="37">
        <v>0</v>
      </c>
      <c r="O4" s="37">
        <v>31.06</v>
      </c>
      <c r="P4" s="37">
        <v>0</v>
      </c>
    </row>
    <row r="5" spans="1:50" ht="11.25" customHeight="1" x14ac:dyDescent="0.25">
      <c r="A5" s="37">
        <v>4</v>
      </c>
      <c r="B5" s="37" t="s">
        <v>399</v>
      </c>
      <c r="C5" s="37" t="s">
        <v>22</v>
      </c>
      <c r="D5" s="37" t="s">
        <v>23</v>
      </c>
      <c r="E5" s="37" t="s">
        <v>24</v>
      </c>
      <c r="F5" s="37" t="s">
        <v>31</v>
      </c>
      <c r="G5" s="37" t="s">
        <v>25</v>
      </c>
      <c r="H5" s="37" t="s">
        <v>25</v>
      </c>
      <c r="I5" s="37" t="s">
        <v>25</v>
      </c>
      <c r="J5" s="37" t="s">
        <v>544</v>
      </c>
      <c r="K5" s="37" t="s">
        <v>545</v>
      </c>
      <c r="L5" s="37" t="s">
        <v>66</v>
      </c>
      <c r="M5" s="37">
        <v>2021</v>
      </c>
      <c r="N5" s="37">
        <v>0</v>
      </c>
      <c r="O5" s="37">
        <v>439.1</v>
      </c>
      <c r="P5" s="37">
        <v>0</v>
      </c>
    </row>
    <row r="6" spans="1:50" ht="11.25" customHeight="1" x14ac:dyDescent="0.25">
      <c r="A6" s="37">
        <v>5</v>
      </c>
      <c r="B6" s="37" t="s">
        <v>399</v>
      </c>
      <c r="C6" s="37" t="s">
        <v>22</v>
      </c>
      <c r="D6" s="37" t="s">
        <v>33</v>
      </c>
      <c r="E6" s="37" t="s">
        <v>24</v>
      </c>
      <c r="F6" s="37" t="s">
        <v>24</v>
      </c>
      <c r="G6" s="37" t="s">
        <v>25</v>
      </c>
      <c r="H6" s="37" t="s">
        <v>25</v>
      </c>
      <c r="I6" s="37" t="s">
        <v>36</v>
      </c>
      <c r="J6" s="37" t="s">
        <v>544</v>
      </c>
      <c r="K6" s="37" t="s">
        <v>545</v>
      </c>
      <c r="L6" s="37" t="s">
        <v>66</v>
      </c>
      <c r="M6" s="37">
        <v>2021</v>
      </c>
      <c r="N6" s="37">
        <v>0</v>
      </c>
      <c r="O6" s="37">
        <v>893.11</v>
      </c>
      <c r="P6" s="37">
        <v>59.684186241334103</v>
      </c>
    </row>
    <row r="7" spans="1:50" ht="11.25" customHeight="1" x14ac:dyDescent="0.25">
      <c r="A7" s="37">
        <v>6</v>
      </c>
      <c r="B7" s="37" t="s">
        <v>399</v>
      </c>
      <c r="C7" s="37" t="s">
        <v>41</v>
      </c>
      <c r="D7" s="37" t="s">
        <v>33</v>
      </c>
      <c r="E7" s="37" t="s">
        <v>42</v>
      </c>
      <c r="F7" s="37" t="s">
        <v>25</v>
      </c>
      <c r="G7" s="37" t="s">
        <v>25</v>
      </c>
      <c r="H7" s="37" t="s">
        <v>25</v>
      </c>
      <c r="I7" s="37" t="s">
        <v>36</v>
      </c>
      <c r="J7" s="37" t="s">
        <v>544</v>
      </c>
      <c r="K7" s="37" t="s">
        <v>545</v>
      </c>
      <c r="L7" s="37" t="s">
        <v>66</v>
      </c>
      <c r="M7" s="37">
        <v>2021</v>
      </c>
      <c r="N7" s="37">
        <v>0</v>
      </c>
      <c r="O7" s="37">
        <v>905.95</v>
      </c>
      <c r="P7" s="37">
        <v>52.522083892373999</v>
      </c>
    </row>
    <row r="8" spans="1:50" ht="11.25" customHeight="1" x14ac:dyDescent="0.25">
      <c r="A8" s="37">
        <v>7</v>
      </c>
      <c r="B8" s="37" t="s">
        <v>399</v>
      </c>
      <c r="C8" s="37" t="s">
        <v>39</v>
      </c>
      <c r="D8" s="37" t="s">
        <v>71</v>
      </c>
      <c r="E8" s="37" t="s">
        <v>25</v>
      </c>
      <c r="F8" s="37" t="s">
        <v>25</v>
      </c>
      <c r="G8" s="37" t="s">
        <v>25</v>
      </c>
      <c r="H8" s="37" t="s">
        <v>25</v>
      </c>
      <c r="I8" s="37" t="s">
        <v>34</v>
      </c>
      <c r="J8" s="37" t="s">
        <v>546</v>
      </c>
      <c r="K8" s="37" t="s">
        <v>545</v>
      </c>
      <c r="L8" s="37" t="s">
        <v>72</v>
      </c>
      <c r="M8" s="37">
        <v>2021</v>
      </c>
      <c r="N8" s="37">
        <v>0</v>
      </c>
      <c r="O8" s="37">
        <v>65.150000000000006</v>
      </c>
      <c r="P8" s="37">
        <v>0</v>
      </c>
    </row>
    <row r="9" spans="1:50" ht="11.25" customHeight="1" x14ac:dyDescent="0.25">
      <c r="A9" s="37">
        <v>8</v>
      </c>
      <c r="B9" s="37" t="s">
        <v>399</v>
      </c>
      <c r="C9" s="37" t="s">
        <v>39</v>
      </c>
      <c r="D9" s="37" t="s">
        <v>40</v>
      </c>
      <c r="E9" s="37" t="s">
        <v>25</v>
      </c>
      <c r="F9" s="37" t="s">
        <v>25</v>
      </c>
      <c r="G9" s="37" t="s">
        <v>75</v>
      </c>
      <c r="H9" s="37" t="s">
        <v>25</v>
      </c>
      <c r="I9" s="37" t="s">
        <v>35</v>
      </c>
      <c r="J9" s="37" t="s">
        <v>544</v>
      </c>
      <c r="K9" s="37" t="s">
        <v>545</v>
      </c>
      <c r="L9" s="37" t="s">
        <v>66</v>
      </c>
      <c r="M9" s="37">
        <v>2021</v>
      </c>
      <c r="N9" s="37">
        <v>0</v>
      </c>
      <c r="O9" s="37">
        <v>6.34</v>
      </c>
      <c r="P9" s="37">
        <v>0</v>
      </c>
    </row>
    <row r="10" spans="1:50" ht="11.25" customHeight="1" x14ac:dyDescent="0.25">
      <c r="A10" s="37">
        <v>9</v>
      </c>
      <c r="B10" s="37" t="s">
        <v>399</v>
      </c>
      <c r="C10" s="37" t="s">
        <v>22</v>
      </c>
      <c r="D10" s="37" t="s">
        <v>82</v>
      </c>
      <c r="E10" s="37" t="s">
        <v>24</v>
      </c>
      <c r="F10" s="37" t="s">
        <v>30</v>
      </c>
      <c r="G10" s="37" t="s">
        <v>25</v>
      </c>
      <c r="H10" s="37" t="s">
        <v>25</v>
      </c>
      <c r="I10" s="37" t="s">
        <v>25</v>
      </c>
      <c r="J10" s="37" t="s">
        <v>544</v>
      </c>
      <c r="K10" s="37" t="s">
        <v>545</v>
      </c>
      <c r="L10" s="37" t="s">
        <v>66</v>
      </c>
      <c r="M10" s="37">
        <v>2021</v>
      </c>
      <c r="N10" s="37">
        <v>0</v>
      </c>
      <c r="O10" s="37">
        <v>292.74</v>
      </c>
      <c r="P10" s="37">
        <v>0</v>
      </c>
    </row>
    <row r="11" spans="1:50" ht="11.25" customHeight="1" x14ac:dyDescent="0.25">
      <c r="A11" s="37">
        <v>10</v>
      </c>
      <c r="B11" s="37" t="s">
        <v>399</v>
      </c>
      <c r="C11" s="37" t="s">
        <v>22</v>
      </c>
      <c r="D11" s="37" t="s">
        <v>33</v>
      </c>
      <c r="E11" s="37" t="s">
        <v>24</v>
      </c>
      <c r="F11" s="37" t="s">
        <v>24</v>
      </c>
      <c r="G11" s="37" t="s">
        <v>25</v>
      </c>
      <c r="H11" s="37" t="s">
        <v>25</v>
      </c>
      <c r="I11" s="37" t="s">
        <v>34</v>
      </c>
      <c r="J11" s="37" t="s">
        <v>544</v>
      </c>
      <c r="K11" s="37" t="s">
        <v>545</v>
      </c>
      <c r="L11" s="37" t="s">
        <v>66</v>
      </c>
      <c r="M11" s="37">
        <v>2021</v>
      </c>
      <c r="N11" s="37">
        <v>0</v>
      </c>
      <c r="O11" s="37">
        <v>1420.34</v>
      </c>
      <c r="P11" s="37">
        <v>59.684186241334103</v>
      </c>
    </row>
    <row r="12" spans="1:50" ht="11.25" customHeight="1" x14ac:dyDescent="0.25">
      <c r="A12" s="37">
        <v>11</v>
      </c>
      <c r="B12" s="37" t="s">
        <v>399</v>
      </c>
      <c r="C12" s="37" t="s">
        <v>41</v>
      </c>
      <c r="D12" s="37" t="s">
        <v>33</v>
      </c>
      <c r="E12" s="37" t="s">
        <v>42</v>
      </c>
      <c r="F12" s="37" t="s">
        <v>25</v>
      </c>
      <c r="G12" s="37" t="s">
        <v>25</v>
      </c>
      <c r="H12" s="37" t="s">
        <v>25</v>
      </c>
      <c r="I12" s="37" t="s">
        <v>34</v>
      </c>
      <c r="J12" s="37" t="s">
        <v>544</v>
      </c>
      <c r="K12" s="37" t="s">
        <v>545</v>
      </c>
      <c r="L12" s="37" t="s">
        <v>66</v>
      </c>
      <c r="M12" s="37">
        <v>2021</v>
      </c>
      <c r="N12" s="37">
        <v>0</v>
      </c>
      <c r="O12" s="37">
        <v>1449.86</v>
      </c>
      <c r="P12" s="37">
        <v>52.522083892373999</v>
      </c>
    </row>
    <row r="13" spans="1:50" ht="11.25" customHeight="1" x14ac:dyDescent="0.25">
      <c r="A13" s="37">
        <v>12</v>
      </c>
      <c r="B13" s="37" t="s">
        <v>399</v>
      </c>
      <c r="C13" s="37" t="s">
        <v>39</v>
      </c>
      <c r="D13" s="37" t="s">
        <v>71</v>
      </c>
      <c r="E13" s="37" t="s">
        <v>25</v>
      </c>
      <c r="F13" s="37" t="s">
        <v>25</v>
      </c>
      <c r="G13" s="37" t="s">
        <v>75</v>
      </c>
      <c r="H13" s="37" t="s">
        <v>25</v>
      </c>
      <c r="I13" s="37" t="s">
        <v>25</v>
      </c>
      <c r="J13" s="37" t="s">
        <v>544</v>
      </c>
      <c r="K13" s="37" t="s">
        <v>545</v>
      </c>
      <c r="L13" s="37" t="s">
        <v>66</v>
      </c>
      <c r="M13" s="37">
        <v>2021</v>
      </c>
      <c r="N13" s="37">
        <v>0</v>
      </c>
      <c r="O13" s="37">
        <v>6.34</v>
      </c>
      <c r="P13" s="37">
        <v>0</v>
      </c>
    </row>
    <row r="14" spans="1:50" ht="11.25" customHeight="1" x14ac:dyDescent="0.25">
      <c r="A14" s="37">
        <v>13</v>
      </c>
      <c r="B14" s="37" t="s">
        <v>399</v>
      </c>
      <c r="C14" s="37" t="s">
        <v>22</v>
      </c>
      <c r="D14" s="37" t="s">
        <v>23</v>
      </c>
      <c r="E14" s="37" t="s">
        <v>24</v>
      </c>
      <c r="F14" s="37" t="s">
        <v>30</v>
      </c>
      <c r="G14" s="37" t="s">
        <v>25</v>
      </c>
      <c r="H14" s="37" t="s">
        <v>25</v>
      </c>
      <c r="I14" s="37" t="s">
        <v>25</v>
      </c>
      <c r="J14" s="37" t="s">
        <v>544</v>
      </c>
      <c r="K14" s="37" t="s">
        <v>545</v>
      </c>
      <c r="L14" s="37" t="s">
        <v>66</v>
      </c>
      <c r="M14" s="37">
        <v>2021</v>
      </c>
      <c r="N14" s="37">
        <v>0</v>
      </c>
      <c r="O14" s="37">
        <v>292.74</v>
      </c>
      <c r="P14" s="37">
        <v>0</v>
      </c>
    </row>
    <row r="15" spans="1:50" ht="11.25" customHeight="1" x14ac:dyDescent="0.25">
      <c r="A15" s="37">
        <v>14</v>
      </c>
      <c r="B15" s="37" t="s">
        <v>399</v>
      </c>
      <c r="C15" s="37" t="s">
        <v>77</v>
      </c>
      <c r="D15" s="37" t="s">
        <v>76</v>
      </c>
      <c r="E15" s="37" t="s">
        <v>25</v>
      </c>
      <c r="F15" s="37" t="s">
        <v>25</v>
      </c>
      <c r="G15" s="37" t="s">
        <v>79</v>
      </c>
      <c r="H15" s="37" t="s">
        <v>25</v>
      </c>
      <c r="I15" s="37" t="s">
        <v>25</v>
      </c>
      <c r="J15" s="37" t="s">
        <v>546</v>
      </c>
      <c r="K15" s="37" t="s">
        <v>545</v>
      </c>
      <c r="L15" s="37" t="s">
        <v>72</v>
      </c>
      <c r="M15" s="37">
        <v>2021</v>
      </c>
      <c r="N15" s="37">
        <v>0</v>
      </c>
      <c r="O15" s="37">
        <v>17.059999999999999</v>
      </c>
      <c r="P15" s="37">
        <v>0</v>
      </c>
    </row>
    <row r="16" spans="1:50" ht="11.25" customHeight="1" x14ac:dyDescent="0.25">
      <c r="A16" s="37">
        <v>15</v>
      </c>
      <c r="B16" s="37" t="s">
        <v>399</v>
      </c>
      <c r="C16" s="37" t="s">
        <v>22</v>
      </c>
      <c r="D16" s="37" t="s">
        <v>82</v>
      </c>
      <c r="E16" s="37" t="s">
        <v>24</v>
      </c>
      <c r="F16" s="37" t="s">
        <v>32</v>
      </c>
      <c r="G16" s="37" t="s">
        <v>25</v>
      </c>
      <c r="H16" s="37" t="s">
        <v>25</v>
      </c>
      <c r="I16" s="37" t="s">
        <v>25</v>
      </c>
      <c r="J16" s="37" t="s">
        <v>544</v>
      </c>
      <c r="K16" s="37" t="s">
        <v>545</v>
      </c>
      <c r="L16" s="37" t="s">
        <v>66</v>
      </c>
      <c r="M16" s="37">
        <v>2021</v>
      </c>
      <c r="N16" s="37">
        <v>0</v>
      </c>
      <c r="O16" s="37">
        <v>487.89</v>
      </c>
      <c r="P16" s="37">
        <v>0</v>
      </c>
    </row>
    <row r="17" spans="1:16" ht="11.25" customHeight="1" x14ac:dyDescent="0.25">
      <c r="A17" s="37">
        <v>16</v>
      </c>
      <c r="B17" s="37" t="s">
        <v>399</v>
      </c>
      <c r="C17" s="37" t="s">
        <v>22</v>
      </c>
      <c r="D17" s="37" t="s">
        <v>82</v>
      </c>
      <c r="E17" s="37" t="s">
        <v>24</v>
      </c>
      <c r="F17" s="37" t="s">
        <v>31</v>
      </c>
      <c r="G17" s="37" t="s">
        <v>25</v>
      </c>
      <c r="H17" s="37" t="s">
        <v>25</v>
      </c>
      <c r="I17" s="37" t="s">
        <v>25</v>
      </c>
      <c r="J17" s="37" t="s">
        <v>544</v>
      </c>
      <c r="K17" s="37" t="s">
        <v>545</v>
      </c>
      <c r="L17" s="37" t="s">
        <v>66</v>
      </c>
      <c r="M17" s="37">
        <v>2021</v>
      </c>
      <c r="N17" s="37">
        <v>0</v>
      </c>
      <c r="O17" s="37">
        <v>439.1</v>
      </c>
      <c r="P17" s="37">
        <v>0</v>
      </c>
    </row>
    <row r="18" spans="1:16" ht="11.25" customHeight="1" x14ac:dyDescent="0.25">
      <c r="A18" s="37">
        <v>17</v>
      </c>
      <c r="B18" s="37" t="s">
        <v>399</v>
      </c>
      <c r="C18" s="37" t="s">
        <v>39</v>
      </c>
      <c r="D18" s="37" t="s">
        <v>76</v>
      </c>
      <c r="E18" s="37" t="s">
        <v>25</v>
      </c>
      <c r="F18" s="37" t="s">
        <v>25</v>
      </c>
      <c r="G18" s="37" t="s">
        <v>25</v>
      </c>
      <c r="H18" s="37" t="s">
        <v>25</v>
      </c>
      <c r="I18" s="37" t="s">
        <v>25</v>
      </c>
      <c r="J18" s="37" t="s">
        <v>546</v>
      </c>
      <c r="K18" s="37" t="s">
        <v>545</v>
      </c>
      <c r="L18" s="37" t="s">
        <v>72</v>
      </c>
      <c r="M18" s="37">
        <v>2021</v>
      </c>
      <c r="N18" s="37">
        <v>0</v>
      </c>
      <c r="O18" s="37">
        <v>9.64</v>
      </c>
      <c r="P18" s="37">
        <v>0</v>
      </c>
    </row>
    <row r="19" spans="1:16" ht="11.25" customHeight="1" x14ac:dyDescent="0.25">
      <c r="A19" s="37">
        <v>18</v>
      </c>
      <c r="B19" s="37" t="s">
        <v>399</v>
      </c>
      <c r="C19" s="37" t="s">
        <v>77</v>
      </c>
      <c r="D19" s="37" t="s">
        <v>76</v>
      </c>
      <c r="E19" s="37" t="s">
        <v>25</v>
      </c>
      <c r="F19" s="37" t="s">
        <v>25</v>
      </c>
      <c r="G19" s="37" t="s">
        <v>78</v>
      </c>
      <c r="H19" s="37" t="s">
        <v>25</v>
      </c>
      <c r="I19" s="37" t="s">
        <v>25</v>
      </c>
      <c r="J19" s="37" t="s">
        <v>546</v>
      </c>
      <c r="K19" s="37" t="s">
        <v>545</v>
      </c>
      <c r="L19" s="37" t="s">
        <v>72</v>
      </c>
      <c r="M19" s="37">
        <v>2021</v>
      </c>
      <c r="N19" s="37">
        <v>0</v>
      </c>
      <c r="O19" s="37">
        <v>3.81</v>
      </c>
      <c r="P19" s="37">
        <v>0</v>
      </c>
    </row>
    <row r="20" spans="1:16" ht="11.25" customHeight="1" x14ac:dyDescent="0.25">
      <c r="A20" s="37">
        <v>19</v>
      </c>
      <c r="B20" s="37" t="s">
        <v>399</v>
      </c>
      <c r="C20" s="37" t="s">
        <v>39</v>
      </c>
      <c r="D20" s="37" t="s">
        <v>40</v>
      </c>
      <c r="E20" s="37" t="s">
        <v>25</v>
      </c>
      <c r="F20" s="37" t="s">
        <v>25</v>
      </c>
      <c r="G20" s="37" t="s">
        <v>75</v>
      </c>
      <c r="H20" s="37" t="s">
        <v>25</v>
      </c>
      <c r="I20" s="37" t="s">
        <v>34</v>
      </c>
      <c r="J20" s="37" t="s">
        <v>544</v>
      </c>
      <c r="K20" s="37" t="s">
        <v>545</v>
      </c>
      <c r="L20" s="37" t="s">
        <v>66</v>
      </c>
      <c r="M20" s="37">
        <v>2021</v>
      </c>
      <c r="N20" s="37">
        <v>0</v>
      </c>
      <c r="O20" s="37">
        <v>1573.35</v>
      </c>
      <c r="P20" s="37">
        <v>0</v>
      </c>
    </row>
    <row r="21" spans="1:16" ht="11.25" customHeight="1" x14ac:dyDescent="0.25">
      <c r="A21" s="37">
        <v>20</v>
      </c>
      <c r="B21" s="37" t="s">
        <v>399</v>
      </c>
      <c r="C21" s="37" t="s">
        <v>22</v>
      </c>
      <c r="D21" s="37" t="s">
        <v>82</v>
      </c>
      <c r="E21" s="37" t="s">
        <v>24</v>
      </c>
      <c r="F21" s="37" t="s">
        <v>29</v>
      </c>
      <c r="G21" s="37" t="s">
        <v>25</v>
      </c>
      <c r="H21" s="37" t="s">
        <v>25</v>
      </c>
      <c r="I21" s="37" t="s">
        <v>25</v>
      </c>
      <c r="J21" s="37" t="s">
        <v>544</v>
      </c>
      <c r="K21" s="37" t="s">
        <v>545</v>
      </c>
      <c r="L21" s="37" t="s">
        <v>66</v>
      </c>
      <c r="M21" s="37">
        <v>2021</v>
      </c>
      <c r="N21" s="37">
        <v>0</v>
      </c>
      <c r="O21" s="37">
        <v>170.76</v>
      </c>
      <c r="P21" s="37">
        <v>0</v>
      </c>
    </row>
    <row r="22" spans="1:16" ht="11.25" customHeight="1" x14ac:dyDescent="0.25">
      <c r="A22" s="37">
        <v>21</v>
      </c>
      <c r="B22" s="37" t="s">
        <v>399</v>
      </c>
      <c r="C22" s="37" t="s">
        <v>39</v>
      </c>
      <c r="D22" s="37" t="s">
        <v>40</v>
      </c>
      <c r="E22" s="37" t="s">
        <v>25</v>
      </c>
      <c r="F22" s="37" t="s">
        <v>25</v>
      </c>
      <c r="G22" s="37" t="s">
        <v>25</v>
      </c>
      <c r="H22" s="37" t="s">
        <v>25</v>
      </c>
      <c r="I22" s="37" t="s">
        <v>35</v>
      </c>
      <c r="J22" s="37" t="s">
        <v>544</v>
      </c>
      <c r="K22" s="37" t="s">
        <v>545</v>
      </c>
      <c r="L22" s="37" t="s">
        <v>66</v>
      </c>
      <c r="M22" s="37">
        <v>2021</v>
      </c>
      <c r="N22" s="37">
        <v>0</v>
      </c>
      <c r="O22" s="37">
        <v>67.53</v>
      </c>
      <c r="P22" s="37">
        <v>51.9252420299606</v>
      </c>
    </row>
    <row r="23" spans="1:16" ht="11.25" customHeight="1" x14ac:dyDescent="0.25">
      <c r="A23" s="37">
        <v>22</v>
      </c>
      <c r="B23" s="37" t="s">
        <v>399</v>
      </c>
      <c r="C23" s="37" t="s">
        <v>22</v>
      </c>
      <c r="D23" s="37" t="s">
        <v>82</v>
      </c>
      <c r="E23" s="37" t="s">
        <v>24</v>
      </c>
      <c r="F23" s="37" t="s">
        <v>24</v>
      </c>
      <c r="G23" s="37" t="s">
        <v>25</v>
      </c>
      <c r="H23" s="37" t="s">
        <v>25</v>
      </c>
      <c r="I23" s="37" t="s">
        <v>25</v>
      </c>
      <c r="J23" s="37" t="s">
        <v>544</v>
      </c>
      <c r="K23" s="37" t="s">
        <v>545</v>
      </c>
      <c r="L23" s="37" t="s">
        <v>66</v>
      </c>
      <c r="M23" s="37">
        <v>2021</v>
      </c>
      <c r="N23" s="37">
        <v>0</v>
      </c>
      <c r="O23" s="37">
        <v>556.84</v>
      </c>
      <c r="P23" s="37">
        <v>59.684186241334103</v>
      </c>
    </row>
    <row r="24" spans="1:16" ht="11.25" customHeight="1" x14ac:dyDescent="0.25">
      <c r="A24" s="37">
        <v>23</v>
      </c>
      <c r="B24" s="37" t="s">
        <v>399</v>
      </c>
      <c r="C24" s="37" t="s">
        <v>39</v>
      </c>
      <c r="D24" s="37" t="s">
        <v>40</v>
      </c>
      <c r="E24" s="37" t="s">
        <v>25</v>
      </c>
      <c r="F24" s="37" t="s">
        <v>25</v>
      </c>
      <c r="G24" s="37" t="s">
        <v>25</v>
      </c>
      <c r="H24" s="37" t="s">
        <v>25</v>
      </c>
      <c r="I24" s="37" t="s">
        <v>34</v>
      </c>
      <c r="J24" s="37" t="s">
        <v>544</v>
      </c>
      <c r="K24" s="37" t="s">
        <v>545</v>
      </c>
      <c r="L24" s="37" t="s">
        <v>66</v>
      </c>
      <c r="M24" s="37">
        <v>2021</v>
      </c>
      <c r="N24" s="37">
        <v>0</v>
      </c>
      <c r="O24" s="37">
        <v>1634.54</v>
      </c>
      <c r="P24" s="37">
        <v>51.9252420299606</v>
      </c>
    </row>
    <row r="25" spans="1:16" ht="11.25" customHeight="1" x14ac:dyDescent="0.25">
      <c r="A25" s="37">
        <v>24</v>
      </c>
      <c r="B25" s="37" t="s">
        <v>399</v>
      </c>
      <c r="C25" s="37" t="s">
        <v>22</v>
      </c>
      <c r="D25" s="37" t="s">
        <v>23</v>
      </c>
      <c r="E25" s="37" t="s">
        <v>24</v>
      </c>
      <c r="F25" s="37" t="s">
        <v>24</v>
      </c>
      <c r="G25" s="37" t="s">
        <v>25</v>
      </c>
      <c r="H25" s="37" t="s">
        <v>25</v>
      </c>
      <c r="I25" s="37" t="s">
        <v>25</v>
      </c>
      <c r="J25" s="37" t="s">
        <v>544</v>
      </c>
      <c r="K25" s="37" t="s">
        <v>545</v>
      </c>
      <c r="L25" s="37" t="s">
        <v>66</v>
      </c>
      <c r="M25" s="37">
        <v>2021</v>
      </c>
      <c r="N25" s="37">
        <v>0</v>
      </c>
      <c r="O25" s="37">
        <v>556.84</v>
      </c>
      <c r="P25" s="37">
        <v>59.684186241334103</v>
      </c>
    </row>
    <row r="26" spans="1:16" ht="11.25" customHeight="1" x14ac:dyDescent="0.25">
      <c r="A26" s="37">
        <v>25</v>
      </c>
      <c r="B26" s="37" t="s">
        <v>399</v>
      </c>
      <c r="C26" s="37" t="s">
        <v>41</v>
      </c>
      <c r="D26" s="37" t="s">
        <v>82</v>
      </c>
      <c r="E26" s="37" t="s">
        <v>42</v>
      </c>
      <c r="F26" s="37" t="s">
        <v>84</v>
      </c>
      <c r="G26" s="37" t="s">
        <v>25</v>
      </c>
      <c r="H26" s="37" t="s">
        <v>25</v>
      </c>
      <c r="I26" s="37" t="s">
        <v>25</v>
      </c>
      <c r="J26" s="37" t="s">
        <v>544</v>
      </c>
      <c r="K26" s="37" t="s">
        <v>545</v>
      </c>
      <c r="L26" s="37" t="s">
        <v>66</v>
      </c>
      <c r="M26" s="37">
        <v>2021</v>
      </c>
      <c r="N26" s="37">
        <v>0</v>
      </c>
      <c r="O26" s="37">
        <v>467.75</v>
      </c>
      <c r="P26" s="37">
        <v>50.134716442720602</v>
      </c>
    </row>
    <row r="27" spans="1:16" ht="11.25" customHeight="1" x14ac:dyDescent="0.25">
      <c r="A27" s="37">
        <v>26</v>
      </c>
      <c r="B27" s="37" t="s">
        <v>427</v>
      </c>
      <c r="C27" s="37" t="s">
        <v>22</v>
      </c>
      <c r="D27" s="37" t="s">
        <v>69</v>
      </c>
      <c r="E27" s="37" t="s">
        <v>24</v>
      </c>
      <c r="F27" s="37" t="s">
        <v>24</v>
      </c>
      <c r="G27" s="37" t="s">
        <v>25</v>
      </c>
      <c r="H27" s="37" t="s">
        <v>25</v>
      </c>
      <c r="I27" s="37" t="s">
        <v>25</v>
      </c>
      <c r="J27" s="37" t="s">
        <v>544</v>
      </c>
      <c r="K27" s="37" t="s">
        <v>545</v>
      </c>
      <c r="L27" s="37" t="s">
        <v>66</v>
      </c>
      <c r="M27" s="37">
        <v>2021</v>
      </c>
      <c r="N27" s="37">
        <v>0</v>
      </c>
      <c r="O27" s="37">
        <v>131.87</v>
      </c>
      <c r="P27" s="37"/>
    </row>
    <row r="28" spans="1:16" ht="11.25" customHeight="1" x14ac:dyDescent="0.25">
      <c r="A28" s="37">
        <v>27</v>
      </c>
      <c r="B28" s="37" t="s">
        <v>399</v>
      </c>
      <c r="C28" s="37" t="s">
        <v>41</v>
      </c>
      <c r="D28" s="37" t="s">
        <v>33</v>
      </c>
      <c r="E28" s="37" t="s">
        <v>42</v>
      </c>
      <c r="F28" s="37" t="s">
        <v>84</v>
      </c>
      <c r="G28" s="37" t="s">
        <v>25</v>
      </c>
      <c r="H28" s="37" t="s">
        <v>25</v>
      </c>
      <c r="I28" s="37" t="s">
        <v>35</v>
      </c>
      <c r="J28" s="37" t="s">
        <v>544</v>
      </c>
      <c r="K28" s="37" t="s">
        <v>545</v>
      </c>
      <c r="L28" s="37" t="s">
        <v>66</v>
      </c>
      <c r="M28" s="37">
        <v>2021</v>
      </c>
      <c r="N28" s="37">
        <v>0</v>
      </c>
      <c r="O28" s="37">
        <v>345.58</v>
      </c>
      <c r="P28" s="37">
        <v>50.134716442720602</v>
      </c>
    </row>
    <row r="29" spans="1:16" ht="11.25" customHeight="1" x14ac:dyDescent="0.25">
      <c r="A29" s="37">
        <v>28</v>
      </c>
      <c r="B29" s="37" t="s">
        <v>427</v>
      </c>
      <c r="C29" s="37" t="s">
        <v>39</v>
      </c>
      <c r="D29" s="37" t="s">
        <v>69</v>
      </c>
      <c r="E29" s="37" t="s">
        <v>25</v>
      </c>
      <c r="F29" s="37" t="s">
        <v>25</v>
      </c>
      <c r="G29" s="37" t="s">
        <v>25</v>
      </c>
      <c r="H29" s="37" t="s">
        <v>25</v>
      </c>
      <c r="I29" s="37" t="s">
        <v>25</v>
      </c>
      <c r="J29" s="37" t="s">
        <v>544</v>
      </c>
      <c r="K29" s="37" t="s">
        <v>545</v>
      </c>
      <c r="L29" s="37" t="s">
        <v>66</v>
      </c>
      <c r="M29" s="37">
        <v>2021</v>
      </c>
      <c r="N29" s="37">
        <v>0</v>
      </c>
      <c r="O29" s="37">
        <v>131.87</v>
      </c>
      <c r="P29" s="37"/>
    </row>
    <row r="30" spans="1:16" ht="11.25" customHeight="1" x14ac:dyDescent="0.25">
      <c r="A30" s="37">
        <v>29</v>
      </c>
      <c r="B30" s="37" t="s">
        <v>399</v>
      </c>
      <c r="C30" s="37" t="s">
        <v>37</v>
      </c>
      <c r="D30" s="37" t="s">
        <v>33</v>
      </c>
      <c r="E30" s="37" t="s">
        <v>25</v>
      </c>
      <c r="F30" s="37" t="s">
        <v>25</v>
      </c>
      <c r="G30" s="37" t="s">
        <v>25</v>
      </c>
      <c r="H30" s="37" t="s">
        <v>25</v>
      </c>
      <c r="I30" s="37" t="s">
        <v>34</v>
      </c>
      <c r="J30" s="37" t="s">
        <v>544</v>
      </c>
      <c r="K30" s="37" t="s">
        <v>545</v>
      </c>
      <c r="L30" s="37" t="s">
        <v>66</v>
      </c>
      <c r="M30" s="37">
        <v>2021</v>
      </c>
      <c r="N30" s="37">
        <v>0</v>
      </c>
      <c r="O30" s="37">
        <v>1670.33</v>
      </c>
      <c r="P30" s="37">
        <v>59.684186241334103</v>
      </c>
    </row>
    <row r="31" spans="1:16" ht="11.25" customHeight="1" x14ac:dyDescent="0.25">
      <c r="A31" s="37">
        <v>30</v>
      </c>
      <c r="B31" s="37" t="s">
        <v>399</v>
      </c>
      <c r="C31" s="37" t="s">
        <v>41</v>
      </c>
      <c r="D31" s="37" t="s">
        <v>33</v>
      </c>
      <c r="E31" s="37" t="s">
        <v>42</v>
      </c>
      <c r="F31" s="37" t="s">
        <v>83</v>
      </c>
      <c r="G31" s="37" t="s">
        <v>25</v>
      </c>
      <c r="H31" s="37" t="s">
        <v>25</v>
      </c>
      <c r="I31" s="37" t="s">
        <v>34</v>
      </c>
      <c r="J31" s="37" t="s">
        <v>544</v>
      </c>
      <c r="K31" s="37" t="s">
        <v>545</v>
      </c>
      <c r="L31" s="37" t="s">
        <v>66</v>
      </c>
      <c r="M31" s="37">
        <v>2021</v>
      </c>
      <c r="N31" s="37">
        <v>0</v>
      </c>
      <c r="O31" s="37">
        <v>1449.86</v>
      </c>
      <c r="P31" s="37">
        <v>52.522083892373999</v>
      </c>
    </row>
    <row r="32" spans="1:16" ht="11.25" customHeight="1" x14ac:dyDescent="0.25">
      <c r="A32" s="37">
        <v>31</v>
      </c>
      <c r="B32" s="37" t="s">
        <v>399</v>
      </c>
      <c r="C32" s="37" t="s">
        <v>37</v>
      </c>
      <c r="D32" s="37" t="s">
        <v>33</v>
      </c>
      <c r="E32" s="37" t="s">
        <v>25</v>
      </c>
      <c r="F32" s="37" t="s">
        <v>25</v>
      </c>
      <c r="G32" s="37" t="s">
        <v>25</v>
      </c>
      <c r="H32" s="37" t="s">
        <v>25</v>
      </c>
      <c r="I32" s="37" t="s">
        <v>35</v>
      </c>
      <c r="J32" s="37" t="s">
        <v>544</v>
      </c>
      <c r="K32" s="37" t="s">
        <v>545</v>
      </c>
      <c r="L32" s="37" t="s">
        <v>66</v>
      </c>
      <c r="M32" s="37">
        <v>2021</v>
      </c>
      <c r="N32" s="37">
        <v>0</v>
      </c>
      <c r="O32" s="37">
        <v>415.93</v>
      </c>
      <c r="P32" s="37">
        <v>59.684186241334103</v>
      </c>
    </row>
    <row r="33" spans="1:16" ht="11.25" customHeight="1" x14ac:dyDescent="0.25">
      <c r="A33" s="37">
        <v>32</v>
      </c>
      <c r="B33" s="37" t="s">
        <v>399</v>
      </c>
      <c r="C33" s="37" t="s">
        <v>22</v>
      </c>
      <c r="D33" s="37" t="s">
        <v>33</v>
      </c>
      <c r="E33" s="37" t="s">
        <v>24</v>
      </c>
      <c r="F33" s="37" t="s">
        <v>24</v>
      </c>
      <c r="G33" s="37" t="s">
        <v>25</v>
      </c>
      <c r="H33" s="37" t="s">
        <v>25</v>
      </c>
      <c r="I33" s="37" t="s">
        <v>35</v>
      </c>
      <c r="J33" s="37" t="s">
        <v>544</v>
      </c>
      <c r="K33" s="37" t="s">
        <v>545</v>
      </c>
      <c r="L33" s="37" t="s">
        <v>66</v>
      </c>
      <c r="M33" s="37">
        <v>2021</v>
      </c>
      <c r="N33" s="37">
        <v>0</v>
      </c>
      <c r="O33" s="37">
        <v>365.93</v>
      </c>
      <c r="P33" s="37">
        <v>59.684186241334103</v>
      </c>
    </row>
    <row r="34" spans="1:16" ht="11.25" customHeight="1" x14ac:dyDescent="0.25">
      <c r="A34" s="37">
        <v>33</v>
      </c>
      <c r="B34" s="37" t="s">
        <v>399</v>
      </c>
      <c r="C34" s="37" t="s">
        <v>41</v>
      </c>
      <c r="D34" s="37" t="s">
        <v>33</v>
      </c>
      <c r="E34" s="37" t="s">
        <v>42</v>
      </c>
      <c r="F34" s="37" t="s">
        <v>83</v>
      </c>
      <c r="G34" s="37" t="s">
        <v>25</v>
      </c>
      <c r="H34" s="37" t="s">
        <v>25</v>
      </c>
      <c r="I34" s="37" t="s">
        <v>35</v>
      </c>
      <c r="J34" s="37" t="s">
        <v>544</v>
      </c>
      <c r="K34" s="37" t="s">
        <v>545</v>
      </c>
      <c r="L34" s="37" t="s">
        <v>66</v>
      </c>
      <c r="M34" s="37">
        <v>2021</v>
      </c>
      <c r="N34" s="37">
        <v>0</v>
      </c>
      <c r="O34" s="37">
        <v>362.03</v>
      </c>
      <c r="P34" s="37">
        <v>52.522083892373999</v>
      </c>
    </row>
    <row r="35" spans="1:16" ht="11.25" customHeight="1" x14ac:dyDescent="0.25">
      <c r="A35" s="37">
        <v>34</v>
      </c>
      <c r="B35" s="37" t="s">
        <v>399</v>
      </c>
      <c r="C35" s="37" t="s">
        <v>44</v>
      </c>
      <c r="D35" s="37" t="s">
        <v>23</v>
      </c>
      <c r="E35" s="37" t="s">
        <v>45</v>
      </c>
      <c r="F35" s="37" t="s">
        <v>46</v>
      </c>
      <c r="G35" s="37" t="s">
        <v>25</v>
      </c>
      <c r="H35" s="37" t="s">
        <v>25</v>
      </c>
      <c r="I35" s="37" t="s">
        <v>25</v>
      </c>
      <c r="J35" s="37" t="s">
        <v>544</v>
      </c>
      <c r="K35" s="37" t="s">
        <v>545</v>
      </c>
      <c r="L35" s="37" t="s">
        <v>66</v>
      </c>
      <c r="M35" s="37">
        <v>2021</v>
      </c>
      <c r="N35" s="37">
        <v>0</v>
      </c>
      <c r="O35" s="37">
        <v>306.26</v>
      </c>
      <c r="P35" s="37">
        <v>32.826302432733698</v>
      </c>
    </row>
    <row r="36" spans="1:16" ht="11.25" customHeight="1" x14ac:dyDescent="0.25">
      <c r="A36" s="37">
        <v>35</v>
      </c>
      <c r="B36" s="37" t="s">
        <v>399</v>
      </c>
      <c r="C36" s="37" t="s">
        <v>41</v>
      </c>
      <c r="D36" s="37" t="s">
        <v>82</v>
      </c>
      <c r="E36" s="37" t="s">
        <v>42</v>
      </c>
      <c r="F36" s="37" t="s">
        <v>25</v>
      </c>
      <c r="G36" s="37" t="s">
        <v>25</v>
      </c>
      <c r="H36" s="37" t="s">
        <v>25</v>
      </c>
      <c r="I36" s="37" t="s">
        <v>25</v>
      </c>
      <c r="J36" s="37" t="s">
        <v>544</v>
      </c>
      <c r="K36" s="37" t="s">
        <v>545</v>
      </c>
      <c r="L36" s="37" t="s">
        <v>66</v>
      </c>
      <c r="M36" s="37">
        <v>2021</v>
      </c>
      <c r="N36" s="37">
        <v>0</v>
      </c>
      <c r="O36" s="37">
        <v>490.02</v>
      </c>
      <c r="P36" s="37">
        <v>52.522083892373999</v>
      </c>
    </row>
    <row r="37" spans="1:16" ht="11.25" customHeight="1" x14ac:dyDescent="0.25">
      <c r="A37" s="37">
        <v>36</v>
      </c>
      <c r="B37" s="37" t="s">
        <v>427</v>
      </c>
      <c r="C37" s="37" t="s">
        <v>22</v>
      </c>
      <c r="D37" s="37" t="s">
        <v>65</v>
      </c>
      <c r="E37" s="37" t="s">
        <v>24</v>
      </c>
      <c r="F37" s="37" t="s">
        <v>24</v>
      </c>
      <c r="G37" s="37" t="s">
        <v>25</v>
      </c>
      <c r="H37" s="37" t="s">
        <v>25</v>
      </c>
      <c r="I37" s="37" t="s">
        <v>36</v>
      </c>
      <c r="J37" s="37" t="s">
        <v>544</v>
      </c>
      <c r="K37" s="37" t="s">
        <v>545</v>
      </c>
      <c r="L37" s="37" t="s">
        <v>66</v>
      </c>
      <c r="M37" s="37">
        <v>2021</v>
      </c>
      <c r="N37" s="37">
        <v>0</v>
      </c>
      <c r="O37" s="37">
        <v>131.87</v>
      </c>
      <c r="P37" s="37"/>
    </row>
    <row r="38" spans="1:16" ht="11.25" customHeight="1" x14ac:dyDescent="0.25">
      <c r="A38" s="37">
        <v>37</v>
      </c>
      <c r="B38" s="37" t="s">
        <v>399</v>
      </c>
      <c r="C38" s="37" t="s">
        <v>41</v>
      </c>
      <c r="D38" s="37" t="s">
        <v>33</v>
      </c>
      <c r="E38" s="37" t="s">
        <v>42</v>
      </c>
      <c r="F38" s="37" t="s">
        <v>84</v>
      </c>
      <c r="G38" s="37" t="s">
        <v>25</v>
      </c>
      <c r="H38" s="37" t="s">
        <v>25</v>
      </c>
      <c r="I38" s="37" t="s">
        <v>34</v>
      </c>
      <c r="J38" s="37" t="s">
        <v>544</v>
      </c>
      <c r="K38" s="37" t="s">
        <v>545</v>
      </c>
      <c r="L38" s="37" t="s">
        <v>66</v>
      </c>
      <c r="M38" s="37">
        <v>2021</v>
      </c>
      <c r="N38" s="37">
        <v>0</v>
      </c>
      <c r="O38" s="37">
        <v>1383.96</v>
      </c>
      <c r="P38" s="37">
        <v>50.134716442720602</v>
      </c>
    </row>
    <row r="39" spans="1:16" ht="11.25" customHeight="1" x14ac:dyDescent="0.25">
      <c r="A39" s="37">
        <v>38</v>
      </c>
      <c r="B39" s="37" t="s">
        <v>399</v>
      </c>
      <c r="C39" s="37" t="s">
        <v>44</v>
      </c>
      <c r="D39" s="37" t="s">
        <v>23</v>
      </c>
      <c r="E39" s="37" t="s">
        <v>45</v>
      </c>
      <c r="F39" s="37" t="s">
        <v>85</v>
      </c>
      <c r="G39" s="37" t="s">
        <v>25</v>
      </c>
      <c r="H39" s="37" t="s">
        <v>25</v>
      </c>
      <c r="I39" s="37" t="s">
        <v>25</v>
      </c>
      <c r="J39" s="37" t="s">
        <v>544</v>
      </c>
      <c r="K39" s="37" t="s">
        <v>545</v>
      </c>
      <c r="L39" s="37" t="s">
        <v>66</v>
      </c>
      <c r="M39" s="37">
        <v>2021</v>
      </c>
      <c r="N39" s="37">
        <v>0</v>
      </c>
      <c r="O39" s="37">
        <v>334.11</v>
      </c>
      <c r="P39" s="37">
        <v>35.810511744800401</v>
      </c>
    </row>
    <row r="40" spans="1:16" ht="11.25" customHeight="1" x14ac:dyDescent="0.25">
      <c r="A40" s="37">
        <v>39</v>
      </c>
      <c r="B40" s="37" t="s">
        <v>399</v>
      </c>
      <c r="C40" s="37" t="s">
        <v>41</v>
      </c>
      <c r="D40" s="37" t="s">
        <v>23</v>
      </c>
      <c r="E40" s="37" t="s">
        <v>42</v>
      </c>
      <c r="F40" s="37" t="s">
        <v>84</v>
      </c>
      <c r="G40" s="37" t="s">
        <v>25</v>
      </c>
      <c r="H40" s="37" t="s">
        <v>25</v>
      </c>
      <c r="I40" s="37" t="s">
        <v>25</v>
      </c>
      <c r="J40" s="37" t="s">
        <v>544</v>
      </c>
      <c r="K40" s="37" t="s">
        <v>545</v>
      </c>
      <c r="L40" s="37" t="s">
        <v>66</v>
      </c>
      <c r="M40" s="37">
        <v>2021</v>
      </c>
      <c r="N40" s="37">
        <v>0</v>
      </c>
      <c r="O40" s="37">
        <v>467.75</v>
      </c>
      <c r="P40" s="37">
        <v>50.134716442720602</v>
      </c>
    </row>
    <row r="41" spans="1:16" ht="11.25" customHeight="1" x14ac:dyDescent="0.25">
      <c r="A41" s="37">
        <v>40</v>
      </c>
      <c r="B41" s="37" t="s">
        <v>399</v>
      </c>
      <c r="C41" s="37" t="s">
        <v>37</v>
      </c>
      <c r="D41" s="37" t="s">
        <v>23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544</v>
      </c>
      <c r="K41" s="37" t="s">
        <v>545</v>
      </c>
      <c r="L41" s="37" t="s">
        <v>66</v>
      </c>
      <c r="M41" s="37">
        <v>2021</v>
      </c>
      <c r="N41" s="37">
        <v>0</v>
      </c>
      <c r="O41" s="37">
        <v>556.84</v>
      </c>
      <c r="P41" s="37">
        <v>59.684186241334103</v>
      </c>
    </row>
    <row r="42" spans="1:16" ht="11.25" customHeight="1" x14ac:dyDescent="0.25">
      <c r="A42" s="37">
        <v>41</v>
      </c>
      <c r="B42" s="37" t="s">
        <v>427</v>
      </c>
      <c r="C42" s="37" t="s">
        <v>39</v>
      </c>
      <c r="D42" s="37" t="s">
        <v>65</v>
      </c>
      <c r="E42" s="37" t="s">
        <v>25</v>
      </c>
      <c r="F42" s="37" t="s">
        <v>25</v>
      </c>
      <c r="G42" s="37" t="s">
        <v>25</v>
      </c>
      <c r="H42" s="37" t="s">
        <v>25</v>
      </c>
      <c r="I42" s="37" t="s">
        <v>34</v>
      </c>
      <c r="J42" s="37" t="s">
        <v>544</v>
      </c>
      <c r="K42" s="37" t="s">
        <v>545</v>
      </c>
      <c r="L42" s="37" t="s">
        <v>66</v>
      </c>
      <c r="M42" s="37">
        <v>2021</v>
      </c>
      <c r="N42" s="37">
        <v>0</v>
      </c>
      <c r="O42" s="37">
        <v>131.87</v>
      </c>
      <c r="P42" s="37"/>
    </row>
    <row r="43" spans="1:16" ht="11.25" customHeight="1" x14ac:dyDescent="0.25">
      <c r="A43" s="37">
        <v>42</v>
      </c>
      <c r="B43" s="37" t="s">
        <v>399</v>
      </c>
      <c r="C43" s="37" t="s">
        <v>41</v>
      </c>
      <c r="D43" s="37" t="s">
        <v>33</v>
      </c>
      <c r="E43" s="37" t="s">
        <v>42</v>
      </c>
      <c r="F43" s="37" t="s">
        <v>83</v>
      </c>
      <c r="G43" s="37" t="s">
        <v>25</v>
      </c>
      <c r="H43" s="37" t="s">
        <v>25</v>
      </c>
      <c r="I43" s="37" t="s">
        <v>36</v>
      </c>
      <c r="J43" s="37" t="s">
        <v>544</v>
      </c>
      <c r="K43" s="37" t="s">
        <v>545</v>
      </c>
      <c r="L43" s="37" t="s">
        <v>66</v>
      </c>
      <c r="M43" s="37">
        <v>2021</v>
      </c>
      <c r="N43" s="37">
        <v>0</v>
      </c>
      <c r="O43" s="37">
        <v>905.95</v>
      </c>
      <c r="P43" s="37">
        <v>52.522083892373999</v>
      </c>
    </row>
    <row r="44" spans="1:16" ht="11.25" customHeight="1" x14ac:dyDescent="0.25">
      <c r="A44" s="37">
        <v>43</v>
      </c>
      <c r="B44" s="37" t="s">
        <v>399</v>
      </c>
      <c r="C44" s="37" t="s">
        <v>22</v>
      </c>
      <c r="D44" s="37" t="s">
        <v>23</v>
      </c>
      <c r="E44" s="37" t="s">
        <v>24</v>
      </c>
      <c r="F44" s="37" t="s">
        <v>32</v>
      </c>
      <c r="G44" s="37" t="s">
        <v>25</v>
      </c>
      <c r="H44" s="37" t="s">
        <v>25</v>
      </c>
      <c r="I44" s="37" t="s">
        <v>25</v>
      </c>
      <c r="J44" s="37" t="s">
        <v>544</v>
      </c>
      <c r="K44" s="37" t="s">
        <v>545</v>
      </c>
      <c r="L44" s="37" t="s">
        <v>66</v>
      </c>
      <c r="M44" s="37">
        <v>2021</v>
      </c>
      <c r="N44" s="37">
        <v>0</v>
      </c>
      <c r="O44" s="37">
        <v>487.89</v>
      </c>
      <c r="P44" s="37">
        <v>0</v>
      </c>
    </row>
    <row r="45" spans="1:16" ht="11.25" customHeight="1" x14ac:dyDescent="0.25">
      <c r="A45" s="37">
        <v>44</v>
      </c>
      <c r="B45" s="37" t="s">
        <v>427</v>
      </c>
      <c r="C45" s="37" t="s">
        <v>41</v>
      </c>
      <c r="D45" s="37" t="s">
        <v>69</v>
      </c>
      <c r="E45" s="37" t="s">
        <v>42</v>
      </c>
      <c r="F45" s="37" t="s">
        <v>25</v>
      </c>
      <c r="G45" s="37" t="s">
        <v>25</v>
      </c>
      <c r="H45" s="37" t="s">
        <v>25</v>
      </c>
      <c r="I45" s="37" t="s">
        <v>25</v>
      </c>
      <c r="J45" s="37" t="s">
        <v>544</v>
      </c>
      <c r="K45" s="37" t="s">
        <v>545</v>
      </c>
      <c r="L45" s="37" t="s">
        <v>66</v>
      </c>
      <c r="M45" s="37">
        <v>2021</v>
      </c>
      <c r="N45" s="37">
        <v>0</v>
      </c>
      <c r="O45" s="37">
        <v>116.05</v>
      </c>
      <c r="P45" s="37"/>
    </row>
    <row r="46" spans="1:16" ht="11.25" customHeight="1" x14ac:dyDescent="0.25">
      <c r="A46" s="37">
        <v>45</v>
      </c>
      <c r="B46" s="37" t="s">
        <v>427</v>
      </c>
      <c r="C46" s="37" t="s">
        <v>37</v>
      </c>
      <c r="D46" s="37" t="s">
        <v>65</v>
      </c>
      <c r="E46" s="37" t="s">
        <v>25</v>
      </c>
      <c r="F46" s="37" t="s">
        <v>25</v>
      </c>
      <c r="G46" s="37" t="s">
        <v>25</v>
      </c>
      <c r="H46" s="37" t="s">
        <v>25</v>
      </c>
      <c r="I46" s="37" t="s">
        <v>36</v>
      </c>
      <c r="J46" s="37" t="s">
        <v>544</v>
      </c>
      <c r="K46" s="37" t="s">
        <v>545</v>
      </c>
      <c r="L46" s="37" t="s">
        <v>66</v>
      </c>
      <c r="M46" s="37">
        <v>2021</v>
      </c>
      <c r="N46" s="37">
        <v>0</v>
      </c>
      <c r="O46" s="37">
        <v>131.87</v>
      </c>
      <c r="P46" s="37"/>
    </row>
    <row r="47" spans="1:16" ht="11.25" customHeight="1" x14ac:dyDescent="0.25">
      <c r="A47" s="37">
        <v>46</v>
      </c>
      <c r="B47" s="37" t="s">
        <v>399</v>
      </c>
      <c r="C47" s="37" t="s">
        <v>37</v>
      </c>
      <c r="D47" s="37" t="s">
        <v>82</v>
      </c>
      <c r="E47" s="37" t="s">
        <v>25</v>
      </c>
      <c r="F47" s="37" t="s">
        <v>25</v>
      </c>
      <c r="G47" s="37" t="s">
        <v>25</v>
      </c>
      <c r="H47" s="37" t="s">
        <v>25</v>
      </c>
      <c r="I47" s="37" t="s">
        <v>25</v>
      </c>
      <c r="J47" s="37" t="s">
        <v>544</v>
      </c>
      <c r="K47" s="37" t="s">
        <v>545</v>
      </c>
      <c r="L47" s="37" t="s">
        <v>66</v>
      </c>
      <c r="M47" s="37">
        <v>2021</v>
      </c>
      <c r="N47" s="37">
        <v>0</v>
      </c>
      <c r="O47" s="37">
        <v>556.84</v>
      </c>
      <c r="P47" s="37">
        <v>59.684186241334103</v>
      </c>
    </row>
    <row r="48" spans="1:16" ht="11.25" customHeight="1" x14ac:dyDescent="0.25">
      <c r="A48" s="37">
        <v>47</v>
      </c>
      <c r="B48" s="37" t="s">
        <v>399</v>
      </c>
      <c r="C48" s="37" t="s">
        <v>41</v>
      </c>
      <c r="D48" s="37" t="s">
        <v>23</v>
      </c>
      <c r="E48" s="37" t="s">
        <v>42</v>
      </c>
      <c r="F48" s="37" t="s">
        <v>83</v>
      </c>
      <c r="G48" s="37" t="s">
        <v>25</v>
      </c>
      <c r="H48" s="37" t="s">
        <v>25</v>
      </c>
      <c r="I48" s="37" t="s">
        <v>25</v>
      </c>
      <c r="J48" s="37" t="s">
        <v>544</v>
      </c>
      <c r="K48" s="37" t="s">
        <v>545</v>
      </c>
      <c r="L48" s="37" t="s">
        <v>66</v>
      </c>
      <c r="M48" s="37">
        <v>2021</v>
      </c>
      <c r="N48" s="37">
        <v>0</v>
      </c>
      <c r="O48" s="37">
        <v>490.02</v>
      </c>
      <c r="P48" s="37">
        <v>52.522083892373999</v>
      </c>
    </row>
    <row r="49" spans="1:16" ht="11.25" customHeight="1" x14ac:dyDescent="0.25">
      <c r="A49" s="37">
        <v>48</v>
      </c>
      <c r="B49" s="37" t="s">
        <v>427</v>
      </c>
      <c r="C49" s="37" t="s">
        <v>39</v>
      </c>
      <c r="D49" s="37" t="s">
        <v>65</v>
      </c>
      <c r="E49" s="37" t="s">
        <v>25</v>
      </c>
      <c r="F49" s="37" t="s">
        <v>25</v>
      </c>
      <c r="G49" s="37" t="s">
        <v>25</v>
      </c>
      <c r="H49" s="37" t="s">
        <v>25</v>
      </c>
      <c r="I49" s="37" t="s">
        <v>35</v>
      </c>
      <c r="J49" s="37" t="s">
        <v>544</v>
      </c>
      <c r="K49" s="37" t="s">
        <v>545</v>
      </c>
      <c r="L49" s="37" t="s">
        <v>66</v>
      </c>
      <c r="M49" s="37">
        <v>2021</v>
      </c>
      <c r="N49" s="37">
        <v>0</v>
      </c>
      <c r="O49" s="37">
        <v>131.87</v>
      </c>
      <c r="P49" s="37"/>
    </row>
    <row r="50" spans="1:16" ht="11.25" customHeight="1" x14ac:dyDescent="0.25">
      <c r="A50" s="37">
        <v>49</v>
      </c>
      <c r="B50" s="37" t="s">
        <v>399</v>
      </c>
      <c r="C50" s="37" t="s">
        <v>41</v>
      </c>
      <c r="D50" s="37" t="s">
        <v>33</v>
      </c>
      <c r="E50" s="37" t="s">
        <v>42</v>
      </c>
      <c r="F50" s="37" t="s">
        <v>25</v>
      </c>
      <c r="G50" s="37" t="s">
        <v>25</v>
      </c>
      <c r="H50" s="37" t="s">
        <v>25</v>
      </c>
      <c r="I50" s="37" t="s">
        <v>35</v>
      </c>
      <c r="J50" s="37" t="s">
        <v>544</v>
      </c>
      <c r="K50" s="37" t="s">
        <v>545</v>
      </c>
      <c r="L50" s="37" t="s">
        <v>66</v>
      </c>
      <c r="M50" s="37">
        <v>2021</v>
      </c>
      <c r="N50" s="37">
        <v>0</v>
      </c>
      <c r="O50" s="37">
        <v>362.03</v>
      </c>
      <c r="P50" s="37">
        <v>52.522083892373999</v>
      </c>
    </row>
    <row r="51" spans="1:16" ht="11.25" customHeight="1" x14ac:dyDescent="0.25">
      <c r="A51" s="37">
        <v>50</v>
      </c>
      <c r="B51" s="37" t="s">
        <v>399</v>
      </c>
      <c r="C51" s="37" t="s">
        <v>41</v>
      </c>
      <c r="D51" s="37" t="s">
        <v>82</v>
      </c>
      <c r="E51" s="37" t="s">
        <v>42</v>
      </c>
      <c r="F51" s="37" t="s">
        <v>83</v>
      </c>
      <c r="G51" s="37" t="s">
        <v>25</v>
      </c>
      <c r="H51" s="37" t="s">
        <v>25</v>
      </c>
      <c r="I51" s="37" t="s">
        <v>25</v>
      </c>
      <c r="J51" s="37" t="s">
        <v>544</v>
      </c>
      <c r="K51" s="37" t="s">
        <v>545</v>
      </c>
      <c r="L51" s="37" t="s">
        <v>66</v>
      </c>
      <c r="M51" s="37">
        <v>2021</v>
      </c>
      <c r="N51" s="37">
        <v>0</v>
      </c>
      <c r="O51" s="37">
        <v>490.02</v>
      </c>
      <c r="P51" s="37">
        <v>52.522083892373999</v>
      </c>
    </row>
    <row r="52" spans="1:16" ht="11.25" customHeight="1" x14ac:dyDescent="0.25">
      <c r="A52" s="37">
        <v>51</v>
      </c>
      <c r="B52" s="37" t="s">
        <v>399</v>
      </c>
      <c r="C52" s="37" t="s">
        <v>41</v>
      </c>
      <c r="D52" s="37" t="s">
        <v>23</v>
      </c>
      <c r="E52" s="37" t="s">
        <v>42</v>
      </c>
      <c r="F52" s="37" t="s">
        <v>25</v>
      </c>
      <c r="G52" s="37" t="s">
        <v>25</v>
      </c>
      <c r="H52" s="37" t="s">
        <v>25</v>
      </c>
      <c r="I52" s="37" t="s">
        <v>25</v>
      </c>
      <c r="J52" s="37" t="s">
        <v>544</v>
      </c>
      <c r="K52" s="37" t="s">
        <v>545</v>
      </c>
      <c r="L52" s="37" t="s">
        <v>66</v>
      </c>
      <c r="M52" s="37">
        <v>2021</v>
      </c>
      <c r="N52" s="37">
        <v>0</v>
      </c>
      <c r="O52" s="37">
        <v>490.02</v>
      </c>
      <c r="P52" s="37">
        <v>52.522083892373999</v>
      </c>
    </row>
    <row r="53" spans="1:16" ht="11.25" customHeight="1" x14ac:dyDescent="0.25">
      <c r="A53" s="37">
        <v>52</v>
      </c>
      <c r="B53" s="37" t="s">
        <v>399</v>
      </c>
      <c r="C53" s="37" t="s">
        <v>39</v>
      </c>
      <c r="D53" s="37" t="s">
        <v>71</v>
      </c>
      <c r="E53" s="37" t="s">
        <v>25</v>
      </c>
      <c r="F53" s="37" t="s">
        <v>25</v>
      </c>
      <c r="G53" s="37" t="s">
        <v>25</v>
      </c>
      <c r="H53" s="37" t="s">
        <v>25</v>
      </c>
      <c r="I53" s="37" t="s">
        <v>35</v>
      </c>
      <c r="J53" s="37" t="s">
        <v>546</v>
      </c>
      <c r="K53" s="37" t="s">
        <v>545</v>
      </c>
      <c r="L53" s="37" t="s">
        <v>72</v>
      </c>
      <c r="M53" s="37">
        <v>2021</v>
      </c>
      <c r="N53" s="37">
        <v>0</v>
      </c>
      <c r="O53" s="37">
        <v>31.06</v>
      </c>
      <c r="P53" s="37">
        <v>0</v>
      </c>
    </row>
    <row r="54" spans="1:16" ht="11.25" customHeight="1" x14ac:dyDescent="0.25">
      <c r="A54" s="37">
        <v>53</v>
      </c>
      <c r="B54" s="37" t="s">
        <v>427</v>
      </c>
      <c r="C54" s="37" t="s">
        <v>22</v>
      </c>
      <c r="D54" s="37" t="s">
        <v>81</v>
      </c>
      <c r="E54" s="37" t="s">
        <v>24</v>
      </c>
      <c r="F54" s="37" t="s">
        <v>32</v>
      </c>
      <c r="G54" s="37" t="s">
        <v>25</v>
      </c>
      <c r="H54" s="37" t="s">
        <v>25</v>
      </c>
      <c r="I54" s="37" t="s">
        <v>25</v>
      </c>
      <c r="J54" s="37" t="s">
        <v>544</v>
      </c>
      <c r="K54" s="37" t="s">
        <v>545</v>
      </c>
      <c r="L54" s="37" t="s">
        <v>66</v>
      </c>
      <c r="M54" s="37">
        <v>2021</v>
      </c>
      <c r="N54" s="37">
        <v>0</v>
      </c>
      <c r="O54" s="37">
        <v>131.87</v>
      </c>
      <c r="P54" s="37"/>
    </row>
    <row r="55" spans="1:16" ht="11.25" customHeight="1" x14ac:dyDescent="0.25">
      <c r="A55" s="37">
        <v>54</v>
      </c>
      <c r="B55" s="37" t="s">
        <v>427</v>
      </c>
      <c r="C55" s="37" t="s">
        <v>41</v>
      </c>
      <c r="D55" s="37" t="s">
        <v>81</v>
      </c>
      <c r="E55" s="37" t="s">
        <v>42</v>
      </c>
      <c r="F55" s="37" t="s">
        <v>25</v>
      </c>
      <c r="G55" s="37" t="s">
        <v>25</v>
      </c>
      <c r="H55" s="37" t="s">
        <v>25</v>
      </c>
      <c r="I55" s="37" t="s">
        <v>25</v>
      </c>
      <c r="J55" s="37" t="s">
        <v>544</v>
      </c>
      <c r="K55" s="37" t="s">
        <v>545</v>
      </c>
      <c r="L55" s="37" t="s">
        <v>66</v>
      </c>
      <c r="M55" s="37">
        <v>2021</v>
      </c>
      <c r="N55" s="37">
        <v>0</v>
      </c>
      <c r="O55" s="37">
        <v>116.05</v>
      </c>
      <c r="P55" s="37"/>
    </row>
    <row r="56" spans="1:16" ht="11.25" customHeight="1" x14ac:dyDescent="0.25">
      <c r="A56" s="37">
        <v>55</v>
      </c>
      <c r="B56" s="37" t="s">
        <v>427</v>
      </c>
      <c r="C56" s="37" t="s">
        <v>22</v>
      </c>
      <c r="D56" s="37" t="s">
        <v>81</v>
      </c>
      <c r="E56" s="37" t="s">
        <v>24</v>
      </c>
      <c r="F56" s="37" t="s">
        <v>24</v>
      </c>
      <c r="G56" s="37" t="s">
        <v>25</v>
      </c>
      <c r="H56" s="37" t="s">
        <v>25</v>
      </c>
      <c r="I56" s="37" t="s">
        <v>25</v>
      </c>
      <c r="J56" s="37" t="s">
        <v>544</v>
      </c>
      <c r="K56" s="37" t="s">
        <v>545</v>
      </c>
      <c r="L56" s="37" t="s">
        <v>66</v>
      </c>
      <c r="M56" s="37">
        <v>2021</v>
      </c>
      <c r="N56" s="37">
        <v>0</v>
      </c>
      <c r="O56" s="37">
        <v>131.87</v>
      </c>
      <c r="P56" s="37"/>
    </row>
    <row r="57" spans="1:16" ht="11.25" customHeight="1" x14ac:dyDescent="0.25">
      <c r="A57" s="37">
        <v>56</v>
      </c>
      <c r="B57" s="37" t="s">
        <v>427</v>
      </c>
      <c r="C57" s="37" t="s">
        <v>41</v>
      </c>
      <c r="D57" s="37" t="s">
        <v>65</v>
      </c>
      <c r="E57" s="37" t="s">
        <v>42</v>
      </c>
      <c r="F57" s="37" t="s">
        <v>84</v>
      </c>
      <c r="G57" s="37" t="s">
        <v>25</v>
      </c>
      <c r="H57" s="37" t="s">
        <v>25</v>
      </c>
      <c r="I57" s="37" t="s">
        <v>34</v>
      </c>
      <c r="J57" s="37" t="s">
        <v>544</v>
      </c>
      <c r="K57" s="37" t="s">
        <v>545</v>
      </c>
      <c r="L57" s="37" t="s">
        <v>66</v>
      </c>
      <c r="M57" s="37">
        <v>2021</v>
      </c>
      <c r="N57" s="37">
        <v>0</v>
      </c>
      <c r="O57" s="37">
        <v>110.77</v>
      </c>
      <c r="P57" s="37"/>
    </row>
    <row r="58" spans="1:16" ht="11.25" customHeight="1" x14ac:dyDescent="0.25">
      <c r="A58" s="37">
        <v>57</v>
      </c>
      <c r="B58" s="37" t="s">
        <v>427</v>
      </c>
      <c r="C58" s="37" t="s">
        <v>22</v>
      </c>
      <c r="D58" s="37" t="s">
        <v>65</v>
      </c>
      <c r="E58" s="37" t="s">
        <v>24</v>
      </c>
      <c r="F58" s="37" t="s">
        <v>24</v>
      </c>
      <c r="G58" s="37" t="s">
        <v>25</v>
      </c>
      <c r="H58" s="37" t="s">
        <v>25</v>
      </c>
      <c r="I58" s="37" t="s">
        <v>34</v>
      </c>
      <c r="J58" s="37" t="s">
        <v>544</v>
      </c>
      <c r="K58" s="37" t="s">
        <v>545</v>
      </c>
      <c r="L58" s="37" t="s">
        <v>66</v>
      </c>
      <c r="M58" s="37">
        <v>2021</v>
      </c>
      <c r="N58" s="37">
        <v>0</v>
      </c>
      <c r="O58" s="37">
        <v>131.87</v>
      </c>
      <c r="P58" s="37"/>
    </row>
    <row r="59" spans="1:16" ht="11.25" customHeight="1" x14ac:dyDescent="0.25">
      <c r="A59" s="37">
        <v>58</v>
      </c>
      <c r="B59" s="37" t="s">
        <v>427</v>
      </c>
      <c r="C59" s="37" t="s">
        <v>22</v>
      </c>
      <c r="D59" s="37" t="s">
        <v>81</v>
      </c>
      <c r="E59" s="37" t="s">
        <v>24</v>
      </c>
      <c r="F59" s="37" t="s">
        <v>30</v>
      </c>
      <c r="G59" s="37" t="s">
        <v>25</v>
      </c>
      <c r="H59" s="37" t="s">
        <v>25</v>
      </c>
      <c r="I59" s="37" t="s">
        <v>25</v>
      </c>
      <c r="J59" s="37" t="s">
        <v>544</v>
      </c>
      <c r="K59" s="37" t="s">
        <v>545</v>
      </c>
      <c r="L59" s="37" t="s">
        <v>66</v>
      </c>
      <c r="M59" s="37">
        <v>2021</v>
      </c>
      <c r="N59" s="37">
        <v>0</v>
      </c>
      <c r="O59" s="37">
        <v>79.12</v>
      </c>
      <c r="P59" s="37"/>
    </row>
    <row r="60" spans="1:16" ht="11.25" customHeight="1" x14ac:dyDescent="0.25">
      <c r="A60" s="37">
        <v>59</v>
      </c>
      <c r="B60" s="37" t="s">
        <v>427</v>
      </c>
      <c r="C60" s="37" t="s">
        <v>41</v>
      </c>
      <c r="D60" s="37" t="s">
        <v>65</v>
      </c>
      <c r="E60" s="37" t="s">
        <v>42</v>
      </c>
      <c r="F60" s="37" t="s">
        <v>84</v>
      </c>
      <c r="G60" s="37" t="s">
        <v>25</v>
      </c>
      <c r="H60" s="37" t="s">
        <v>25</v>
      </c>
      <c r="I60" s="37" t="s">
        <v>35</v>
      </c>
      <c r="J60" s="37" t="s">
        <v>544</v>
      </c>
      <c r="K60" s="37" t="s">
        <v>545</v>
      </c>
      <c r="L60" s="37" t="s">
        <v>66</v>
      </c>
      <c r="M60" s="37">
        <v>2021</v>
      </c>
      <c r="N60" s="37">
        <v>0</v>
      </c>
      <c r="O60" s="37">
        <v>110.77</v>
      </c>
      <c r="P60" s="37"/>
    </row>
    <row r="61" spans="1:16" ht="11.25" customHeight="1" x14ac:dyDescent="0.25">
      <c r="A61" s="37">
        <v>60</v>
      </c>
      <c r="B61" s="37" t="s">
        <v>427</v>
      </c>
      <c r="C61" s="37" t="s">
        <v>22</v>
      </c>
      <c r="D61" s="37" t="s">
        <v>69</v>
      </c>
      <c r="E61" s="37" t="s">
        <v>24</v>
      </c>
      <c r="F61" s="37" t="s">
        <v>31</v>
      </c>
      <c r="G61" s="37" t="s">
        <v>25</v>
      </c>
      <c r="H61" s="37" t="s">
        <v>25</v>
      </c>
      <c r="I61" s="37" t="s">
        <v>25</v>
      </c>
      <c r="J61" s="37" t="s">
        <v>544</v>
      </c>
      <c r="K61" s="37" t="s">
        <v>545</v>
      </c>
      <c r="L61" s="37" t="s">
        <v>66</v>
      </c>
      <c r="M61" s="37">
        <v>2021</v>
      </c>
      <c r="N61" s="37">
        <v>0</v>
      </c>
      <c r="O61" s="37">
        <v>118.68</v>
      </c>
      <c r="P61" s="37"/>
    </row>
    <row r="62" spans="1:16" ht="11.25" customHeight="1" x14ac:dyDescent="0.25">
      <c r="A62" s="37">
        <v>61</v>
      </c>
      <c r="B62" s="37" t="s">
        <v>427</v>
      </c>
      <c r="C62" s="37" t="s">
        <v>41</v>
      </c>
      <c r="D62" s="37" t="s">
        <v>65</v>
      </c>
      <c r="E62" s="37" t="s">
        <v>42</v>
      </c>
      <c r="F62" s="37" t="s">
        <v>83</v>
      </c>
      <c r="G62" s="37" t="s">
        <v>25</v>
      </c>
      <c r="H62" s="37" t="s">
        <v>25</v>
      </c>
      <c r="I62" s="37" t="s">
        <v>35</v>
      </c>
      <c r="J62" s="37" t="s">
        <v>544</v>
      </c>
      <c r="K62" s="37" t="s">
        <v>545</v>
      </c>
      <c r="L62" s="37" t="s">
        <v>66</v>
      </c>
      <c r="M62" s="37">
        <v>2021</v>
      </c>
      <c r="N62" s="37">
        <v>0</v>
      </c>
      <c r="O62" s="37">
        <v>116.05</v>
      </c>
      <c r="P62" s="37"/>
    </row>
    <row r="63" spans="1:16" ht="11.25" customHeight="1" x14ac:dyDescent="0.25">
      <c r="A63" s="37">
        <v>62</v>
      </c>
      <c r="B63" s="37" t="s">
        <v>427</v>
      </c>
      <c r="C63" s="37" t="s">
        <v>41</v>
      </c>
      <c r="D63" s="37" t="s">
        <v>65</v>
      </c>
      <c r="E63" s="37" t="s">
        <v>42</v>
      </c>
      <c r="F63" s="37" t="s">
        <v>25</v>
      </c>
      <c r="G63" s="37" t="s">
        <v>25</v>
      </c>
      <c r="H63" s="37" t="s">
        <v>25</v>
      </c>
      <c r="I63" s="37" t="s">
        <v>34</v>
      </c>
      <c r="J63" s="37" t="s">
        <v>544</v>
      </c>
      <c r="K63" s="37" t="s">
        <v>545</v>
      </c>
      <c r="L63" s="37" t="s">
        <v>66</v>
      </c>
      <c r="M63" s="37">
        <v>2021</v>
      </c>
      <c r="N63" s="37">
        <v>0</v>
      </c>
      <c r="O63" s="37">
        <v>116.05</v>
      </c>
      <c r="P63" s="37"/>
    </row>
    <row r="64" spans="1:16" ht="11.25" customHeight="1" x14ac:dyDescent="0.25">
      <c r="A64" s="37">
        <v>63</v>
      </c>
      <c r="B64" s="37" t="s">
        <v>427</v>
      </c>
      <c r="C64" s="37" t="s">
        <v>41</v>
      </c>
      <c r="D64" s="37" t="s">
        <v>81</v>
      </c>
      <c r="E64" s="37" t="s">
        <v>42</v>
      </c>
      <c r="F64" s="37" t="s">
        <v>83</v>
      </c>
      <c r="G64" s="37" t="s">
        <v>25</v>
      </c>
      <c r="H64" s="37" t="s">
        <v>25</v>
      </c>
      <c r="I64" s="37" t="s">
        <v>25</v>
      </c>
      <c r="J64" s="37" t="s">
        <v>544</v>
      </c>
      <c r="K64" s="37" t="s">
        <v>545</v>
      </c>
      <c r="L64" s="37" t="s">
        <v>66</v>
      </c>
      <c r="M64" s="37">
        <v>2021</v>
      </c>
      <c r="N64" s="37">
        <v>0</v>
      </c>
      <c r="O64" s="37">
        <v>116.05</v>
      </c>
      <c r="P64" s="37"/>
    </row>
    <row r="65" spans="1:16" ht="11.25" customHeight="1" x14ac:dyDescent="0.25">
      <c r="A65" s="37">
        <v>64</v>
      </c>
      <c r="B65" s="37" t="s">
        <v>427</v>
      </c>
      <c r="C65" s="37" t="s">
        <v>22</v>
      </c>
      <c r="D65" s="37" t="s">
        <v>65</v>
      </c>
      <c r="E65" s="37" t="s">
        <v>24</v>
      </c>
      <c r="F65" s="37" t="s">
        <v>24</v>
      </c>
      <c r="G65" s="37" t="s">
        <v>25</v>
      </c>
      <c r="H65" s="37" t="s">
        <v>25</v>
      </c>
      <c r="I65" s="37" t="s">
        <v>35</v>
      </c>
      <c r="J65" s="37" t="s">
        <v>544</v>
      </c>
      <c r="K65" s="37" t="s">
        <v>545</v>
      </c>
      <c r="L65" s="37" t="s">
        <v>66</v>
      </c>
      <c r="M65" s="37">
        <v>2021</v>
      </c>
      <c r="N65" s="37">
        <v>0</v>
      </c>
      <c r="O65" s="37">
        <v>131.87</v>
      </c>
      <c r="P65" s="37"/>
    </row>
    <row r="66" spans="1:16" ht="11.25" customHeight="1" x14ac:dyDescent="0.25">
      <c r="A66" s="37">
        <v>65</v>
      </c>
      <c r="B66" s="37" t="s">
        <v>399</v>
      </c>
      <c r="C66" s="37" t="s">
        <v>37</v>
      </c>
      <c r="D66" s="37" t="s">
        <v>33</v>
      </c>
      <c r="E66" s="37" t="s">
        <v>25</v>
      </c>
      <c r="F66" s="37" t="s">
        <v>25</v>
      </c>
      <c r="G66" s="37" t="s">
        <v>25</v>
      </c>
      <c r="H66" s="37" t="s">
        <v>25</v>
      </c>
      <c r="I66" s="37" t="s">
        <v>36</v>
      </c>
      <c r="J66" s="37" t="s">
        <v>544</v>
      </c>
      <c r="K66" s="37" t="s">
        <v>545</v>
      </c>
      <c r="L66" s="37" t="s">
        <v>66</v>
      </c>
      <c r="M66" s="37">
        <v>2021</v>
      </c>
      <c r="N66" s="37">
        <v>0</v>
      </c>
      <c r="O66" s="37">
        <v>1043.08</v>
      </c>
      <c r="P66" s="37">
        <v>59.684186241334103</v>
      </c>
    </row>
    <row r="67" spans="1:16" ht="11.25" customHeight="1" x14ac:dyDescent="0.25">
      <c r="A67" s="37">
        <v>66</v>
      </c>
      <c r="B67" s="37" t="s">
        <v>427</v>
      </c>
      <c r="C67" s="37" t="s">
        <v>22</v>
      </c>
      <c r="D67" s="37" t="s">
        <v>69</v>
      </c>
      <c r="E67" s="37" t="s">
        <v>24</v>
      </c>
      <c r="F67" s="37" t="s">
        <v>32</v>
      </c>
      <c r="G67" s="37" t="s">
        <v>25</v>
      </c>
      <c r="H67" s="37" t="s">
        <v>25</v>
      </c>
      <c r="I67" s="37" t="s">
        <v>25</v>
      </c>
      <c r="J67" s="37" t="s">
        <v>544</v>
      </c>
      <c r="K67" s="37" t="s">
        <v>545</v>
      </c>
      <c r="L67" s="37" t="s">
        <v>66</v>
      </c>
      <c r="M67" s="37">
        <v>2021</v>
      </c>
      <c r="N67" s="37">
        <v>0</v>
      </c>
      <c r="O67" s="37">
        <v>131.87</v>
      </c>
      <c r="P67" s="37"/>
    </row>
    <row r="68" spans="1:16" ht="11.25" customHeight="1" x14ac:dyDescent="0.25">
      <c r="A68" s="37">
        <v>67</v>
      </c>
      <c r="B68" s="37" t="s">
        <v>427</v>
      </c>
      <c r="C68" s="37" t="s">
        <v>41</v>
      </c>
      <c r="D68" s="37" t="s">
        <v>65</v>
      </c>
      <c r="E68" s="37" t="s">
        <v>42</v>
      </c>
      <c r="F68" s="37" t="s">
        <v>25</v>
      </c>
      <c r="G68" s="37" t="s">
        <v>25</v>
      </c>
      <c r="H68" s="37" t="s">
        <v>25</v>
      </c>
      <c r="I68" s="37" t="s">
        <v>36</v>
      </c>
      <c r="J68" s="37" t="s">
        <v>544</v>
      </c>
      <c r="K68" s="37" t="s">
        <v>545</v>
      </c>
      <c r="L68" s="37" t="s">
        <v>66</v>
      </c>
      <c r="M68" s="37">
        <v>2021</v>
      </c>
      <c r="N68" s="37">
        <v>0</v>
      </c>
      <c r="O68" s="37">
        <v>116.05</v>
      </c>
      <c r="P68" s="37"/>
    </row>
    <row r="69" spans="1:16" ht="11.25" customHeight="1" x14ac:dyDescent="0.25">
      <c r="A69" s="37">
        <v>68</v>
      </c>
      <c r="B69" s="37" t="s">
        <v>427</v>
      </c>
      <c r="C69" s="37" t="s">
        <v>41</v>
      </c>
      <c r="D69" s="37" t="s">
        <v>81</v>
      </c>
      <c r="E69" s="37" t="s">
        <v>42</v>
      </c>
      <c r="F69" s="37" t="s">
        <v>84</v>
      </c>
      <c r="G69" s="37" t="s">
        <v>25</v>
      </c>
      <c r="H69" s="37" t="s">
        <v>25</v>
      </c>
      <c r="I69" s="37" t="s">
        <v>25</v>
      </c>
      <c r="J69" s="37" t="s">
        <v>544</v>
      </c>
      <c r="K69" s="37" t="s">
        <v>545</v>
      </c>
      <c r="L69" s="37" t="s">
        <v>66</v>
      </c>
      <c r="M69" s="37">
        <v>2021</v>
      </c>
      <c r="N69" s="37">
        <v>0</v>
      </c>
      <c r="O69" s="37">
        <v>110.77</v>
      </c>
      <c r="P69" s="37"/>
    </row>
    <row r="70" spans="1:16" ht="11.25" customHeight="1" x14ac:dyDescent="0.25">
      <c r="A70" s="37">
        <v>69</v>
      </c>
      <c r="B70" s="37" t="s">
        <v>427</v>
      </c>
      <c r="C70" s="37" t="s">
        <v>22</v>
      </c>
      <c r="D70" s="37" t="s">
        <v>69</v>
      </c>
      <c r="E70" s="37" t="s">
        <v>24</v>
      </c>
      <c r="F70" s="37" t="s">
        <v>30</v>
      </c>
      <c r="G70" s="37" t="s">
        <v>25</v>
      </c>
      <c r="H70" s="37" t="s">
        <v>25</v>
      </c>
      <c r="I70" s="37" t="s">
        <v>25</v>
      </c>
      <c r="J70" s="37" t="s">
        <v>544</v>
      </c>
      <c r="K70" s="37" t="s">
        <v>545</v>
      </c>
      <c r="L70" s="37" t="s">
        <v>66</v>
      </c>
      <c r="M70" s="37">
        <v>2021</v>
      </c>
      <c r="N70" s="37">
        <v>0</v>
      </c>
      <c r="O70" s="37">
        <v>79.12</v>
      </c>
      <c r="P70" s="37"/>
    </row>
    <row r="71" spans="1:16" ht="11.25" customHeight="1" x14ac:dyDescent="0.25">
      <c r="A71" s="37">
        <v>70</v>
      </c>
      <c r="B71" s="37" t="s">
        <v>427</v>
      </c>
      <c r="C71" s="37" t="s">
        <v>41</v>
      </c>
      <c r="D71" s="37" t="s">
        <v>65</v>
      </c>
      <c r="E71" s="37" t="s">
        <v>42</v>
      </c>
      <c r="F71" s="37" t="s">
        <v>83</v>
      </c>
      <c r="G71" s="37" t="s">
        <v>25</v>
      </c>
      <c r="H71" s="37" t="s">
        <v>25</v>
      </c>
      <c r="I71" s="37" t="s">
        <v>36</v>
      </c>
      <c r="J71" s="37" t="s">
        <v>544</v>
      </c>
      <c r="K71" s="37" t="s">
        <v>545</v>
      </c>
      <c r="L71" s="37" t="s">
        <v>66</v>
      </c>
      <c r="M71" s="37">
        <v>2021</v>
      </c>
      <c r="N71" s="37">
        <v>0</v>
      </c>
      <c r="O71" s="37">
        <v>116.05</v>
      </c>
      <c r="P71" s="37"/>
    </row>
    <row r="72" spans="1:16" ht="11.25" customHeight="1" x14ac:dyDescent="0.25">
      <c r="A72" s="37">
        <v>71</v>
      </c>
      <c r="B72" s="37" t="s">
        <v>427</v>
      </c>
      <c r="C72" s="37" t="s">
        <v>22</v>
      </c>
      <c r="D72" s="37" t="s">
        <v>81</v>
      </c>
      <c r="E72" s="37" t="s">
        <v>24</v>
      </c>
      <c r="F72" s="37" t="s">
        <v>31</v>
      </c>
      <c r="G72" s="37" t="s">
        <v>25</v>
      </c>
      <c r="H72" s="37" t="s">
        <v>25</v>
      </c>
      <c r="I72" s="37" t="s">
        <v>25</v>
      </c>
      <c r="J72" s="37" t="s">
        <v>544</v>
      </c>
      <c r="K72" s="37" t="s">
        <v>545</v>
      </c>
      <c r="L72" s="37" t="s">
        <v>66</v>
      </c>
      <c r="M72" s="37">
        <v>2021</v>
      </c>
      <c r="N72" s="37">
        <v>0</v>
      </c>
      <c r="O72" s="37">
        <v>118.68</v>
      </c>
      <c r="P72" s="37"/>
    </row>
    <row r="73" spans="1:16" ht="11.25" customHeight="1" x14ac:dyDescent="0.25">
      <c r="A73" s="37">
        <v>72</v>
      </c>
      <c r="B73" s="37" t="s">
        <v>427</v>
      </c>
      <c r="C73" s="37" t="s">
        <v>22</v>
      </c>
      <c r="D73" s="37" t="s">
        <v>69</v>
      </c>
      <c r="E73" s="37" t="s">
        <v>24</v>
      </c>
      <c r="F73" s="37" t="s">
        <v>29</v>
      </c>
      <c r="G73" s="37" t="s">
        <v>25</v>
      </c>
      <c r="H73" s="37" t="s">
        <v>25</v>
      </c>
      <c r="I73" s="37" t="s">
        <v>25</v>
      </c>
      <c r="J73" s="37" t="s">
        <v>544</v>
      </c>
      <c r="K73" s="37" t="s">
        <v>545</v>
      </c>
      <c r="L73" s="37" t="s">
        <v>66</v>
      </c>
      <c r="M73" s="37">
        <v>2021</v>
      </c>
      <c r="N73" s="37">
        <v>0</v>
      </c>
      <c r="O73" s="37">
        <v>46.15</v>
      </c>
      <c r="P73" s="37"/>
    </row>
    <row r="74" spans="1:16" ht="11.25" customHeight="1" x14ac:dyDescent="0.25">
      <c r="A74" s="37">
        <v>73</v>
      </c>
      <c r="B74" s="37" t="s">
        <v>427</v>
      </c>
      <c r="C74" s="37" t="s">
        <v>41</v>
      </c>
      <c r="D74" s="37" t="s">
        <v>65</v>
      </c>
      <c r="E74" s="37" t="s">
        <v>42</v>
      </c>
      <c r="F74" s="37" t="s">
        <v>83</v>
      </c>
      <c r="G74" s="37" t="s">
        <v>25</v>
      </c>
      <c r="H74" s="37" t="s">
        <v>25</v>
      </c>
      <c r="I74" s="37" t="s">
        <v>34</v>
      </c>
      <c r="J74" s="37" t="s">
        <v>544</v>
      </c>
      <c r="K74" s="37" t="s">
        <v>545</v>
      </c>
      <c r="L74" s="37" t="s">
        <v>66</v>
      </c>
      <c r="M74" s="37">
        <v>2021</v>
      </c>
      <c r="N74" s="37">
        <v>0</v>
      </c>
      <c r="O74" s="37">
        <v>116.05</v>
      </c>
      <c r="P74" s="37"/>
    </row>
    <row r="75" spans="1:16" ht="11.25" customHeight="1" x14ac:dyDescent="0.25">
      <c r="A75" s="37">
        <v>74</v>
      </c>
      <c r="B75" s="37" t="s">
        <v>399</v>
      </c>
      <c r="C75" s="37" t="s">
        <v>41</v>
      </c>
      <c r="D75" s="37" t="s">
        <v>33</v>
      </c>
      <c r="E75" s="37" t="s">
        <v>42</v>
      </c>
      <c r="F75" s="37" t="s">
        <v>84</v>
      </c>
      <c r="G75" s="37" t="s">
        <v>25</v>
      </c>
      <c r="H75" s="37" t="s">
        <v>25</v>
      </c>
      <c r="I75" s="37" t="s">
        <v>36</v>
      </c>
      <c r="J75" s="37" t="s">
        <v>544</v>
      </c>
      <c r="K75" s="37" t="s">
        <v>545</v>
      </c>
      <c r="L75" s="37" t="s">
        <v>66</v>
      </c>
      <c r="M75" s="37">
        <v>2021</v>
      </c>
      <c r="N75" s="37">
        <v>0</v>
      </c>
      <c r="O75" s="37">
        <v>864.77</v>
      </c>
      <c r="P75" s="37">
        <v>50.134716442720602</v>
      </c>
    </row>
    <row r="76" spans="1:16" ht="11.25" customHeight="1" x14ac:dyDescent="0.25">
      <c r="A76" s="37">
        <v>75</v>
      </c>
      <c r="B76" s="37" t="s">
        <v>427</v>
      </c>
      <c r="C76" s="37" t="s">
        <v>41</v>
      </c>
      <c r="D76" s="37" t="s">
        <v>65</v>
      </c>
      <c r="E76" s="37" t="s">
        <v>42</v>
      </c>
      <c r="F76" s="37" t="s">
        <v>84</v>
      </c>
      <c r="G76" s="37" t="s">
        <v>25</v>
      </c>
      <c r="H76" s="37" t="s">
        <v>25</v>
      </c>
      <c r="I76" s="37" t="s">
        <v>36</v>
      </c>
      <c r="J76" s="37" t="s">
        <v>544</v>
      </c>
      <c r="K76" s="37" t="s">
        <v>545</v>
      </c>
      <c r="L76" s="37" t="s">
        <v>66</v>
      </c>
      <c r="M76" s="37">
        <v>2021</v>
      </c>
      <c r="N76" s="37">
        <v>0</v>
      </c>
      <c r="O76" s="37">
        <v>110.77</v>
      </c>
      <c r="P76" s="37"/>
    </row>
    <row r="77" spans="1:16" ht="11.25" customHeight="1" x14ac:dyDescent="0.25">
      <c r="A77" s="37">
        <v>76</v>
      </c>
      <c r="B77" s="37" t="s">
        <v>427</v>
      </c>
      <c r="C77" s="37" t="s">
        <v>41</v>
      </c>
      <c r="D77" s="37" t="s">
        <v>65</v>
      </c>
      <c r="E77" s="37" t="s">
        <v>42</v>
      </c>
      <c r="F77" s="37" t="s">
        <v>25</v>
      </c>
      <c r="G77" s="37" t="s">
        <v>25</v>
      </c>
      <c r="H77" s="37" t="s">
        <v>25</v>
      </c>
      <c r="I77" s="37" t="s">
        <v>35</v>
      </c>
      <c r="J77" s="37" t="s">
        <v>544</v>
      </c>
      <c r="K77" s="37" t="s">
        <v>545</v>
      </c>
      <c r="L77" s="37" t="s">
        <v>66</v>
      </c>
      <c r="M77" s="37">
        <v>2021</v>
      </c>
      <c r="N77" s="37">
        <v>0</v>
      </c>
      <c r="O77" s="37">
        <v>116.05</v>
      </c>
      <c r="P77" s="37"/>
    </row>
    <row r="78" spans="1:16" ht="11.25" customHeight="1" x14ac:dyDescent="0.25">
      <c r="A78" s="37">
        <v>77</v>
      </c>
      <c r="B78" s="37" t="s">
        <v>427</v>
      </c>
      <c r="C78" s="37" t="s">
        <v>37</v>
      </c>
      <c r="D78" s="37" t="s">
        <v>65</v>
      </c>
      <c r="E78" s="37" t="s">
        <v>25</v>
      </c>
      <c r="F78" s="37" t="s">
        <v>25</v>
      </c>
      <c r="G78" s="37" t="s">
        <v>25</v>
      </c>
      <c r="H78" s="37" t="s">
        <v>25</v>
      </c>
      <c r="I78" s="37" t="s">
        <v>34</v>
      </c>
      <c r="J78" s="37" t="s">
        <v>544</v>
      </c>
      <c r="K78" s="37" t="s">
        <v>545</v>
      </c>
      <c r="L78" s="37" t="s">
        <v>66</v>
      </c>
      <c r="M78" s="37">
        <v>2021</v>
      </c>
      <c r="N78" s="37">
        <v>0</v>
      </c>
      <c r="O78" s="37">
        <v>131.87</v>
      </c>
      <c r="P78" s="37"/>
    </row>
    <row r="79" spans="1:16" ht="11.25" customHeight="1" x14ac:dyDescent="0.25">
      <c r="A79" s="37">
        <v>78</v>
      </c>
      <c r="B79" s="37" t="s">
        <v>427</v>
      </c>
      <c r="C79" s="37" t="s">
        <v>41</v>
      </c>
      <c r="D79" s="37" t="s">
        <v>69</v>
      </c>
      <c r="E79" s="37" t="s">
        <v>42</v>
      </c>
      <c r="F79" s="37" t="s">
        <v>83</v>
      </c>
      <c r="G79" s="37" t="s">
        <v>25</v>
      </c>
      <c r="H79" s="37" t="s">
        <v>25</v>
      </c>
      <c r="I79" s="37" t="s">
        <v>25</v>
      </c>
      <c r="J79" s="37" t="s">
        <v>544</v>
      </c>
      <c r="K79" s="37" t="s">
        <v>545</v>
      </c>
      <c r="L79" s="37" t="s">
        <v>66</v>
      </c>
      <c r="M79" s="37">
        <v>2021</v>
      </c>
      <c r="N79" s="37">
        <v>0</v>
      </c>
      <c r="O79" s="37">
        <v>116.05</v>
      </c>
      <c r="P79" s="37"/>
    </row>
    <row r="80" spans="1:16" ht="11.25" customHeight="1" x14ac:dyDescent="0.25">
      <c r="A80" s="37">
        <v>79</v>
      </c>
      <c r="B80" s="37" t="s">
        <v>427</v>
      </c>
      <c r="C80" s="37" t="s">
        <v>22</v>
      </c>
      <c r="D80" s="37" t="s">
        <v>81</v>
      </c>
      <c r="E80" s="37" t="s">
        <v>24</v>
      </c>
      <c r="F80" s="37" t="s">
        <v>29</v>
      </c>
      <c r="G80" s="37" t="s">
        <v>25</v>
      </c>
      <c r="H80" s="37" t="s">
        <v>25</v>
      </c>
      <c r="I80" s="37" t="s">
        <v>25</v>
      </c>
      <c r="J80" s="37" t="s">
        <v>544</v>
      </c>
      <c r="K80" s="37" t="s">
        <v>545</v>
      </c>
      <c r="L80" s="37" t="s">
        <v>66</v>
      </c>
      <c r="M80" s="37">
        <v>2021</v>
      </c>
      <c r="N80" s="37">
        <v>0</v>
      </c>
      <c r="O80" s="37">
        <v>46.15</v>
      </c>
      <c r="P80" s="37"/>
    </row>
    <row r="81" spans="1:16" ht="11.25" customHeight="1" x14ac:dyDescent="0.25">
      <c r="A81" s="37">
        <v>80</v>
      </c>
      <c r="B81" s="37" t="s">
        <v>427</v>
      </c>
      <c r="C81" s="37" t="s">
        <v>41</v>
      </c>
      <c r="D81" s="37" t="s">
        <v>69</v>
      </c>
      <c r="E81" s="37" t="s">
        <v>42</v>
      </c>
      <c r="F81" s="37" t="s">
        <v>84</v>
      </c>
      <c r="G81" s="37" t="s">
        <v>25</v>
      </c>
      <c r="H81" s="37" t="s">
        <v>25</v>
      </c>
      <c r="I81" s="37" t="s">
        <v>25</v>
      </c>
      <c r="J81" s="37" t="s">
        <v>544</v>
      </c>
      <c r="K81" s="37" t="s">
        <v>545</v>
      </c>
      <c r="L81" s="37" t="s">
        <v>66</v>
      </c>
      <c r="M81" s="37">
        <v>2021</v>
      </c>
      <c r="N81" s="37">
        <v>0</v>
      </c>
      <c r="O81" s="37">
        <v>110.77</v>
      </c>
      <c r="P81" s="37"/>
    </row>
    <row r="82" spans="1:16" ht="11.25" customHeight="1" x14ac:dyDescent="0.25">
      <c r="A82" s="37">
        <v>81</v>
      </c>
      <c r="B82" s="37" t="s">
        <v>427</v>
      </c>
      <c r="C82" s="37" t="s">
        <v>44</v>
      </c>
      <c r="D82" s="37" t="s">
        <v>69</v>
      </c>
      <c r="E82" s="37" t="s">
        <v>45</v>
      </c>
      <c r="F82" s="37" t="s">
        <v>85</v>
      </c>
      <c r="G82" s="37" t="s">
        <v>25</v>
      </c>
      <c r="H82" s="37" t="s">
        <v>25</v>
      </c>
      <c r="I82" s="37" t="s">
        <v>25</v>
      </c>
      <c r="J82" s="37" t="s">
        <v>544</v>
      </c>
      <c r="K82" s="37" t="s">
        <v>545</v>
      </c>
      <c r="L82" s="37" t="s">
        <v>66</v>
      </c>
      <c r="M82" s="37">
        <v>2021</v>
      </c>
      <c r="N82" s="37">
        <v>0</v>
      </c>
      <c r="O82" s="37">
        <v>79.12</v>
      </c>
      <c r="P82" s="37"/>
    </row>
    <row r="83" spans="1:16" ht="11.25" customHeight="1" x14ac:dyDescent="0.25">
      <c r="A83" s="37">
        <v>82</v>
      </c>
      <c r="B83" s="37" t="s">
        <v>427</v>
      </c>
      <c r="C83" s="37" t="s">
        <v>37</v>
      </c>
      <c r="D83" s="37" t="s">
        <v>65</v>
      </c>
      <c r="E83" s="37" t="s">
        <v>25</v>
      </c>
      <c r="F83" s="37" t="s">
        <v>25</v>
      </c>
      <c r="G83" s="37" t="s">
        <v>25</v>
      </c>
      <c r="H83" s="37" t="s">
        <v>25</v>
      </c>
      <c r="I83" s="37" t="s">
        <v>35</v>
      </c>
      <c r="J83" s="37" t="s">
        <v>544</v>
      </c>
      <c r="K83" s="37" t="s">
        <v>545</v>
      </c>
      <c r="L83" s="37" t="s">
        <v>66</v>
      </c>
      <c r="M83" s="37">
        <v>2021</v>
      </c>
      <c r="N83" s="37">
        <v>0</v>
      </c>
      <c r="O83" s="37">
        <v>131.87</v>
      </c>
      <c r="P83" s="37"/>
    </row>
    <row r="84" spans="1:16" ht="11.25" customHeight="1" x14ac:dyDescent="0.25">
      <c r="A84" s="37">
        <v>83</v>
      </c>
      <c r="B84" s="37" t="s">
        <v>427</v>
      </c>
      <c r="C84" s="37" t="s">
        <v>37</v>
      </c>
      <c r="D84" s="37" t="s">
        <v>69</v>
      </c>
      <c r="E84" s="37" t="s">
        <v>25</v>
      </c>
      <c r="F84" s="37" t="s">
        <v>25</v>
      </c>
      <c r="G84" s="37" t="s">
        <v>25</v>
      </c>
      <c r="H84" s="37" t="s">
        <v>25</v>
      </c>
      <c r="I84" s="37" t="s">
        <v>25</v>
      </c>
      <c r="J84" s="37" t="s">
        <v>544</v>
      </c>
      <c r="K84" s="37" t="s">
        <v>545</v>
      </c>
      <c r="L84" s="37" t="s">
        <v>66</v>
      </c>
      <c r="M84" s="37">
        <v>2021</v>
      </c>
      <c r="N84" s="37">
        <v>0</v>
      </c>
      <c r="O84" s="37">
        <v>131.87</v>
      </c>
      <c r="P84" s="37"/>
    </row>
    <row r="85" spans="1:16" ht="11.25" customHeight="1" x14ac:dyDescent="0.25">
      <c r="A85" s="37">
        <v>84</v>
      </c>
      <c r="B85" s="37" t="s">
        <v>427</v>
      </c>
      <c r="C85" s="37" t="s">
        <v>37</v>
      </c>
      <c r="D85" s="37" t="s">
        <v>81</v>
      </c>
      <c r="E85" s="37" t="s">
        <v>25</v>
      </c>
      <c r="F85" s="37" t="s">
        <v>25</v>
      </c>
      <c r="G85" s="37" t="s">
        <v>25</v>
      </c>
      <c r="H85" s="37" t="s">
        <v>25</v>
      </c>
      <c r="I85" s="37" t="s">
        <v>25</v>
      </c>
      <c r="J85" s="37" t="s">
        <v>544</v>
      </c>
      <c r="K85" s="37" t="s">
        <v>545</v>
      </c>
      <c r="L85" s="37" t="s">
        <v>66</v>
      </c>
      <c r="M85" s="37">
        <v>2021</v>
      </c>
      <c r="N85" s="37">
        <v>0</v>
      </c>
      <c r="O85" s="37">
        <v>131.87</v>
      </c>
      <c r="P85" s="37"/>
    </row>
    <row r="86" spans="1:16" ht="11.25" customHeight="1" x14ac:dyDescent="0.25">
      <c r="A86" s="37">
        <v>85</v>
      </c>
      <c r="B86" s="37" t="s">
        <v>427</v>
      </c>
      <c r="C86" s="37" t="s">
        <v>44</v>
      </c>
      <c r="D86" s="37" t="s">
        <v>69</v>
      </c>
      <c r="E86" s="37" t="s">
        <v>45</v>
      </c>
      <c r="F86" s="37" t="s">
        <v>46</v>
      </c>
      <c r="G86" s="37" t="s">
        <v>25</v>
      </c>
      <c r="H86" s="37" t="s">
        <v>25</v>
      </c>
      <c r="I86" s="37" t="s">
        <v>25</v>
      </c>
      <c r="J86" s="37" t="s">
        <v>544</v>
      </c>
      <c r="K86" s="37" t="s">
        <v>545</v>
      </c>
      <c r="L86" s="37" t="s">
        <v>66</v>
      </c>
      <c r="M86" s="37">
        <v>2021</v>
      </c>
      <c r="N86" s="37">
        <v>0</v>
      </c>
      <c r="O86" s="37">
        <v>72.53</v>
      </c>
      <c r="P86" s="3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DC87-2B44-4760-B29D-20755C1E1A6B}">
  <dimension ref="B1:AR50"/>
  <sheetViews>
    <sheetView showGridLines="0" workbookViewId="0">
      <selection activeCell="B4" sqref="B4"/>
    </sheetView>
  </sheetViews>
  <sheetFormatPr defaultRowHeight="15" x14ac:dyDescent="0.25"/>
  <cols>
    <col min="2" max="2" width="13.42578125" bestFit="1" customWidth="1"/>
    <col min="3" max="3" width="27.7109375" bestFit="1" customWidth="1"/>
    <col min="4" max="4" width="17.85546875" bestFit="1" customWidth="1"/>
    <col min="5" max="5" width="31.140625" bestFit="1" customWidth="1"/>
    <col min="6" max="6" width="12.5703125" bestFit="1" customWidth="1"/>
    <col min="7" max="7" width="13.42578125" bestFit="1" customWidth="1"/>
    <col min="8" max="8" width="11.5703125" bestFit="1" customWidth="1"/>
    <col min="9" max="9" width="13.42578125" bestFit="1" customWidth="1"/>
    <col min="10" max="10" width="12.85546875" bestFit="1" customWidth="1"/>
    <col min="11" max="11" width="10.140625" bestFit="1" customWidth="1"/>
    <col min="12" max="12" width="19.28515625" bestFit="1" customWidth="1"/>
    <col min="13" max="13" width="14" bestFit="1" customWidth="1"/>
    <col min="14" max="14" width="12.5703125" bestFit="1" customWidth="1"/>
    <col min="15" max="15" width="12.85546875" bestFit="1" customWidth="1"/>
    <col min="16" max="17" width="12.42578125" bestFit="1" customWidth="1"/>
    <col min="18" max="18" width="17.140625" bestFit="1" customWidth="1"/>
    <col min="19" max="19" width="10.85546875" bestFit="1" customWidth="1"/>
    <col min="20" max="20" width="11.28515625" bestFit="1" customWidth="1"/>
    <col min="21" max="21" width="11.140625" bestFit="1" customWidth="1"/>
    <col min="22" max="22" width="12.28515625" bestFit="1" customWidth="1"/>
    <col min="23" max="23" width="12.5703125" bestFit="1" customWidth="1"/>
    <col min="24" max="24" width="13.85546875" bestFit="1" customWidth="1"/>
    <col min="25" max="25" width="11.42578125" bestFit="1" customWidth="1"/>
    <col min="26" max="26" width="14.28515625" bestFit="1" customWidth="1"/>
    <col min="27" max="27" width="12.85546875" bestFit="1" customWidth="1"/>
    <col min="28" max="28" width="16.140625" bestFit="1" customWidth="1"/>
    <col min="29" max="29" width="14.42578125" bestFit="1" customWidth="1"/>
    <col min="30" max="30" width="11.140625" bestFit="1" customWidth="1"/>
    <col min="31" max="31" width="17.7109375" bestFit="1" customWidth="1"/>
    <col min="32" max="32" width="12.5703125" bestFit="1" customWidth="1"/>
    <col min="33" max="33" width="10.7109375" bestFit="1" customWidth="1"/>
    <col min="34" max="34" width="16.5703125" bestFit="1" customWidth="1"/>
    <col min="35" max="35" width="14.5703125" bestFit="1" customWidth="1"/>
    <col min="36" max="36" width="9.85546875" bestFit="1" customWidth="1"/>
    <col min="37" max="37" width="12.5703125" bestFit="1" customWidth="1"/>
    <col min="38" max="38" width="12.28515625" bestFit="1" customWidth="1"/>
    <col min="39" max="39" width="14.140625" bestFit="1" customWidth="1"/>
    <col min="40" max="40" width="25.28515625" bestFit="1" customWidth="1"/>
    <col min="41" max="41" width="17.85546875" bestFit="1" customWidth="1"/>
    <col min="42" max="42" width="13.42578125" bestFit="1" customWidth="1"/>
    <col min="43" max="43" width="13.28515625" bestFit="1" customWidth="1"/>
    <col min="44" max="44" width="12.5703125" bestFit="1" customWidth="1"/>
  </cols>
  <sheetData>
    <row r="1" spans="2:44" ht="12" customHeight="1" x14ac:dyDescent="0.25">
      <c r="L1" s="121" t="s">
        <v>1071</v>
      </c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2"/>
      <c r="AH1" s="121" t="s">
        <v>1072</v>
      </c>
      <c r="AI1" s="121"/>
      <c r="AJ1" s="121"/>
      <c r="AK1" s="121"/>
      <c r="AL1" s="121"/>
      <c r="AM1" s="121"/>
      <c r="AN1" s="121"/>
      <c r="AO1" s="121"/>
      <c r="AP1" s="121"/>
      <c r="AQ1" s="121"/>
      <c r="AR1" s="121"/>
    </row>
    <row r="2" spans="2:44" ht="12" customHeight="1" x14ac:dyDescent="0.25">
      <c r="L2" s="123" t="s">
        <v>400</v>
      </c>
      <c r="M2" s="123"/>
      <c r="N2" s="123"/>
      <c r="O2" s="123"/>
      <c r="P2" s="123"/>
      <c r="Q2" s="123"/>
      <c r="R2" s="123"/>
      <c r="S2" s="124"/>
      <c r="T2" s="123" t="s">
        <v>409</v>
      </c>
      <c r="U2" s="123"/>
      <c r="V2" s="123"/>
      <c r="W2" s="123"/>
      <c r="X2" s="123"/>
      <c r="Y2" s="123"/>
      <c r="Z2" s="124"/>
      <c r="AA2" s="86" t="s">
        <v>417</v>
      </c>
      <c r="AB2" s="123" t="s">
        <v>25</v>
      </c>
      <c r="AC2" s="124"/>
      <c r="AD2" s="123" t="s">
        <v>1070</v>
      </c>
      <c r="AE2" s="123"/>
      <c r="AF2" s="123"/>
      <c r="AG2" s="124"/>
      <c r="AH2" s="123" t="s">
        <v>400</v>
      </c>
      <c r="AI2" s="123"/>
      <c r="AJ2" s="123"/>
      <c r="AK2" s="123"/>
      <c r="AL2" s="124"/>
      <c r="AM2" s="86" t="s">
        <v>431</v>
      </c>
      <c r="AN2" s="123" t="s">
        <v>409</v>
      </c>
      <c r="AO2" s="123"/>
      <c r="AP2" s="123"/>
      <c r="AQ2" s="124"/>
      <c r="AR2" s="85" t="s">
        <v>1070</v>
      </c>
    </row>
    <row r="3" spans="2:44" ht="12" customHeight="1" x14ac:dyDescent="0.25">
      <c r="B3" s="76" t="s">
        <v>56</v>
      </c>
      <c r="C3" s="77" t="s">
        <v>57</v>
      </c>
      <c r="D3" s="77" t="s">
        <v>58</v>
      </c>
      <c r="E3" s="77" t="s">
        <v>59</v>
      </c>
      <c r="F3" s="77" t="s">
        <v>60</v>
      </c>
      <c r="G3" s="77" t="s">
        <v>62</v>
      </c>
      <c r="H3" s="77" t="s">
        <v>63</v>
      </c>
      <c r="I3" s="77" t="s">
        <v>669</v>
      </c>
      <c r="J3" s="77" t="s">
        <v>1034</v>
      </c>
      <c r="K3" s="77" t="s">
        <v>1035</v>
      </c>
      <c r="L3" s="77" t="s">
        <v>1036</v>
      </c>
      <c r="M3" s="77" t="s">
        <v>1037</v>
      </c>
      <c r="N3" s="77" t="s">
        <v>1038</v>
      </c>
      <c r="O3" s="77" t="s">
        <v>1039</v>
      </c>
      <c r="P3" s="77" t="s">
        <v>1040</v>
      </c>
      <c r="Q3" s="77" t="s">
        <v>1041</v>
      </c>
      <c r="R3" s="77" t="s">
        <v>1042</v>
      </c>
      <c r="S3" s="77" t="s">
        <v>1043</v>
      </c>
      <c r="T3" s="77" t="s">
        <v>1044</v>
      </c>
      <c r="U3" s="77" t="s">
        <v>1045</v>
      </c>
      <c r="V3" s="77" t="s">
        <v>1046</v>
      </c>
      <c r="W3" s="77" t="s">
        <v>1047</v>
      </c>
      <c r="X3" s="77" t="s">
        <v>1048</v>
      </c>
      <c r="Y3" s="77" t="s">
        <v>1049</v>
      </c>
      <c r="Z3" s="77" t="s">
        <v>1050</v>
      </c>
      <c r="AA3" s="77" t="s">
        <v>1051</v>
      </c>
      <c r="AB3" s="77" t="s">
        <v>1052</v>
      </c>
      <c r="AC3" s="77" t="s">
        <v>1053</v>
      </c>
      <c r="AD3" s="77" t="s">
        <v>1054</v>
      </c>
      <c r="AE3" s="77" t="s">
        <v>1055</v>
      </c>
      <c r="AF3" s="77" t="s">
        <v>1056</v>
      </c>
      <c r="AG3" s="77" t="s">
        <v>1057</v>
      </c>
      <c r="AH3" s="77" t="s">
        <v>1058</v>
      </c>
      <c r="AI3" s="77" t="s">
        <v>1059</v>
      </c>
      <c r="AJ3" s="77" t="s">
        <v>1060</v>
      </c>
      <c r="AK3" s="77" t="s">
        <v>1061</v>
      </c>
      <c r="AL3" s="77" t="s">
        <v>1062</v>
      </c>
      <c r="AM3" s="77" t="s">
        <v>1063</v>
      </c>
      <c r="AN3" s="77" t="s">
        <v>1064</v>
      </c>
      <c r="AO3" s="77" t="s">
        <v>1065</v>
      </c>
      <c r="AP3" s="77" t="s">
        <v>1066</v>
      </c>
      <c r="AQ3" s="77" t="s">
        <v>1067</v>
      </c>
      <c r="AR3" s="78" t="s">
        <v>1068</v>
      </c>
    </row>
    <row r="4" spans="2:44" ht="12" customHeight="1" x14ac:dyDescent="0.25">
      <c r="B4" s="79" t="s">
        <v>39</v>
      </c>
      <c r="C4" s="80" t="s">
        <v>71</v>
      </c>
      <c r="D4" s="80" t="s">
        <v>25</v>
      </c>
      <c r="E4" s="80" t="s">
        <v>25</v>
      </c>
      <c r="F4" s="80" t="s">
        <v>75</v>
      </c>
      <c r="G4" s="80" t="s">
        <v>34</v>
      </c>
      <c r="H4" s="80" t="s">
        <v>66</v>
      </c>
      <c r="I4" s="80" t="s">
        <v>25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0</v>
      </c>
      <c r="AF4" s="80">
        <v>0</v>
      </c>
      <c r="AG4" s="80">
        <v>0</v>
      </c>
      <c r="AH4" s="80">
        <v>0</v>
      </c>
      <c r="AI4" s="80">
        <v>0</v>
      </c>
      <c r="AJ4" s="80">
        <v>0</v>
      </c>
      <c r="AK4" s="80">
        <v>0</v>
      </c>
      <c r="AL4" s="80">
        <v>0</v>
      </c>
      <c r="AM4" s="80">
        <v>0</v>
      </c>
      <c r="AN4" s="80">
        <v>0</v>
      </c>
      <c r="AO4" s="80">
        <v>0</v>
      </c>
      <c r="AP4" s="80">
        <v>0</v>
      </c>
      <c r="AQ4" s="80">
        <v>0</v>
      </c>
      <c r="AR4" s="81">
        <v>0</v>
      </c>
    </row>
    <row r="5" spans="2:44" ht="12" customHeight="1" x14ac:dyDescent="0.25">
      <c r="B5" s="79" t="s">
        <v>39</v>
      </c>
      <c r="C5" s="80" t="s">
        <v>71</v>
      </c>
      <c r="D5" s="80" t="s">
        <v>25</v>
      </c>
      <c r="E5" s="80" t="s">
        <v>25</v>
      </c>
      <c r="F5" s="80" t="s">
        <v>75</v>
      </c>
      <c r="G5" s="80" t="s">
        <v>34</v>
      </c>
      <c r="H5" s="80" t="s">
        <v>72</v>
      </c>
      <c r="I5" s="80" t="s">
        <v>25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>
        <v>0</v>
      </c>
      <c r="AG5" s="80">
        <v>0</v>
      </c>
      <c r="AH5" s="80">
        <v>0</v>
      </c>
      <c r="AI5" s="80">
        <v>0</v>
      </c>
      <c r="AJ5" s="80">
        <v>0</v>
      </c>
      <c r="AK5" s="80">
        <v>0</v>
      </c>
      <c r="AL5" s="80">
        <v>0</v>
      </c>
      <c r="AM5" s="80">
        <v>0</v>
      </c>
      <c r="AN5" s="80">
        <v>0</v>
      </c>
      <c r="AO5" s="80">
        <v>0</v>
      </c>
      <c r="AP5" s="80">
        <v>0</v>
      </c>
      <c r="AQ5" s="80">
        <v>0</v>
      </c>
      <c r="AR5" s="81">
        <v>0</v>
      </c>
    </row>
    <row r="6" spans="2:44" ht="12" customHeight="1" x14ac:dyDescent="0.25">
      <c r="B6" s="79" t="s">
        <v>39</v>
      </c>
      <c r="C6" s="80" t="s">
        <v>71</v>
      </c>
      <c r="D6" s="80" t="s">
        <v>25</v>
      </c>
      <c r="E6" s="80" t="s">
        <v>25</v>
      </c>
      <c r="F6" s="80" t="s">
        <v>75</v>
      </c>
      <c r="G6" s="80" t="s">
        <v>35</v>
      </c>
      <c r="H6" s="80" t="s">
        <v>66</v>
      </c>
      <c r="I6" s="80" t="s">
        <v>25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0</v>
      </c>
      <c r="AE6" s="80">
        <v>0</v>
      </c>
      <c r="AF6" s="80">
        <v>0</v>
      </c>
      <c r="AG6" s="80">
        <v>0</v>
      </c>
      <c r="AH6" s="80">
        <v>0</v>
      </c>
      <c r="AI6" s="80">
        <v>0</v>
      </c>
      <c r="AJ6" s="80">
        <v>0</v>
      </c>
      <c r="AK6" s="80">
        <v>0</v>
      </c>
      <c r="AL6" s="80">
        <v>0</v>
      </c>
      <c r="AM6" s="80">
        <v>0</v>
      </c>
      <c r="AN6" s="80">
        <v>0</v>
      </c>
      <c r="AO6" s="80">
        <v>0</v>
      </c>
      <c r="AP6" s="80">
        <v>0</v>
      </c>
      <c r="AQ6" s="80">
        <v>0</v>
      </c>
      <c r="AR6" s="81">
        <v>0</v>
      </c>
    </row>
    <row r="7" spans="2:44" ht="12" customHeight="1" x14ac:dyDescent="0.25">
      <c r="B7" s="79" t="s">
        <v>39</v>
      </c>
      <c r="C7" s="80" t="s">
        <v>71</v>
      </c>
      <c r="D7" s="80" t="s">
        <v>25</v>
      </c>
      <c r="E7" s="80" t="s">
        <v>25</v>
      </c>
      <c r="F7" s="80" t="s">
        <v>75</v>
      </c>
      <c r="G7" s="80" t="s">
        <v>35</v>
      </c>
      <c r="H7" s="80" t="s">
        <v>72</v>
      </c>
      <c r="I7" s="80" t="s">
        <v>25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0</v>
      </c>
      <c r="AB7" s="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80">
        <v>0</v>
      </c>
      <c r="AJ7" s="80">
        <v>0</v>
      </c>
      <c r="AK7" s="80">
        <v>0</v>
      </c>
      <c r="AL7" s="80">
        <v>0</v>
      </c>
      <c r="AM7" s="80">
        <v>0</v>
      </c>
      <c r="AN7" s="80">
        <v>0</v>
      </c>
      <c r="AO7" s="80">
        <v>0</v>
      </c>
      <c r="AP7" s="80">
        <v>0</v>
      </c>
      <c r="AQ7" s="80">
        <v>0</v>
      </c>
      <c r="AR7" s="81">
        <v>0</v>
      </c>
    </row>
    <row r="8" spans="2:44" ht="12" customHeight="1" x14ac:dyDescent="0.25">
      <c r="B8" s="79" t="s">
        <v>39</v>
      </c>
      <c r="C8" s="80" t="s">
        <v>71</v>
      </c>
      <c r="D8" s="80" t="s">
        <v>25</v>
      </c>
      <c r="E8" s="80" t="s">
        <v>25</v>
      </c>
      <c r="F8" s="80" t="s">
        <v>25</v>
      </c>
      <c r="G8" s="80" t="s">
        <v>34</v>
      </c>
      <c r="H8" s="80" t="s">
        <v>66</v>
      </c>
      <c r="I8" s="80" t="s">
        <v>25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 s="80">
        <v>0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v>0</v>
      </c>
      <c r="AN8" s="80">
        <v>0</v>
      </c>
      <c r="AO8" s="80">
        <v>0</v>
      </c>
      <c r="AP8" s="80">
        <v>0</v>
      </c>
      <c r="AQ8" s="80">
        <v>0</v>
      </c>
      <c r="AR8" s="81">
        <v>0</v>
      </c>
    </row>
    <row r="9" spans="2:44" ht="12" customHeight="1" x14ac:dyDescent="0.25">
      <c r="B9" s="79" t="s">
        <v>39</v>
      </c>
      <c r="C9" s="80" t="s">
        <v>71</v>
      </c>
      <c r="D9" s="80" t="s">
        <v>25</v>
      </c>
      <c r="E9" s="80" t="s">
        <v>25</v>
      </c>
      <c r="F9" s="80" t="s">
        <v>25</v>
      </c>
      <c r="G9" s="80" t="s">
        <v>34</v>
      </c>
      <c r="H9" s="80" t="s">
        <v>72</v>
      </c>
      <c r="I9" s="80" t="s">
        <v>25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O9" s="80">
        <v>0</v>
      </c>
      <c r="AP9" s="80">
        <v>0</v>
      </c>
      <c r="AQ9" s="80">
        <v>0</v>
      </c>
      <c r="AR9" s="81">
        <v>0</v>
      </c>
    </row>
    <row r="10" spans="2:44" ht="12" customHeight="1" x14ac:dyDescent="0.25">
      <c r="B10" s="79" t="s">
        <v>39</v>
      </c>
      <c r="C10" s="80" t="s">
        <v>71</v>
      </c>
      <c r="D10" s="80" t="s">
        <v>25</v>
      </c>
      <c r="E10" s="80" t="s">
        <v>25</v>
      </c>
      <c r="F10" s="80" t="s">
        <v>25</v>
      </c>
      <c r="G10" s="80" t="s">
        <v>35</v>
      </c>
      <c r="H10" s="80" t="s">
        <v>66</v>
      </c>
      <c r="I10" s="80" t="s">
        <v>25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0">
        <v>0</v>
      </c>
      <c r="AE10" s="80">
        <v>0</v>
      </c>
      <c r="AF10" s="80">
        <v>0</v>
      </c>
      <c r="AG10" s="80">
        <v>0</v>
      </c>
      <c r="AH10" s="80">
        <v>0</v>
      </c>
      <c r="AI10" s="80">
        <v>0</v>
      </c>
      <c r="AJ10" s="80">
        <v>0</v>
      </c>
      <c r="AK10" s="80">
        <v>0</v>
      </c>
      <c r="AL10" s="80">
        <v>0</v>
      </c>
      <c r="AM10" s="80">
        <v>0</v>
      </c>
      <c r="AN10" s="80">
        <v>0</v>
      </c>
      <c r="AO10" s="80">
        <v>0</v>
      </c>
      <c r="AP10" s="80">
        <v>0</v>
      </c>
      <c r="AQ10" s="80">
        <v>0</v>
      </c>
      <c r="AR10" s="81">
        <v>0</v>
      </c>
    </row>
    <row r="11" spans="2:44" ht="12" customHeight="1" x14ac:dyDescent="0.25">
      <c r="B11" s="79" t="s">
        <v>39</v>
      </c>
      <c r="C11" s="80" t="s">
        <v>71</v>
      </c>
      <c r="D11" s="80" t="s">
        <v>25</v>
      </c>
      <c r="E11" s="80" t="s">
        <v>25</v>
      </c>
      <c r="F11" s="80" t="s">
        <v>25</v>
      </c>
      <c r="G11" s="80" t="s">
        <v>35</v>
      </c>
      <c r="H11" s="80" t="s">
        <v>72</v>
      </c>
      <c r="I11" s="80" t="s">
        <v>25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  <c r="AH11" s="80">
        <v>0</v>
      </c>
      <c r="AI11" s="80">
        <v>0</v>
      </c>
      <c r="AJ11" s="80">
        <v>0</v>
      </c>
      <c r="AK11" s="80">
        <v>0</v>
      </c>
      <c r="AL11" s="80">
        <v>0</v>
      </c>
      <c r="AM11" s="80">
        <v>0</v>
      </c>
      <c r="AN11" s="80">
        <v>0</v>
      </c>
      <c r="AO11" s="80">
        <v>0</v>
      </c>
      <c r="AP11" s="80">
        <v>0</v>
      </c>
      <c r="AQ11" s="80">
        <v>0</v>
      </c>
      <c r="AR11" s="81">
        <v>0</v>
      </c>
    </row>
    <row r="12" spans="2:44" ht="12" customHeight="1" x14ac:dyDescent="0.25">
      <c r="B12" s="79" t="s">
        <v>39</v>
      </c>
      <c r="C12" s="80" t="s">
        <v>23</v>
      </c>
      <c r="D12" s="80" t="s">
        <v>25</v>
      </c>
      <c r="E12" s="80" t="s">
        <v>25</v>
      </c>
      <c r="F12" s="80" t="s">
        <v>25</v>
      </c>
      <c r="G12" s="80" t="s">
        <v>25</v>
      </c>
      <c r="H12" s="80" t="s">
        <v>66</v>
      </c>
      <c r="I12" s="80" t="s">
        <v>25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1">
        <v>0</v>
      </c>
    </row>
    <row r="13" spans="2:44" ht="12" customHeight="1" x14ac:dyDescent="0.25">
      <c r="B13" s="79" t="s">
        <v>39</v>
      </c>
      <c r="C13" s="80" t="s">
        <v>76</v>
      </c>
      <c r="D13" s="80" t="s">
        <v>25</v>
      </c>
      <c r="E13" s="80" t="s">
        <v>25</v>
      </c>
      <c r="F13" s="80" t="s">
        <v>25</v>
      </c>
      <c r="G13" s="80" t="s">
        <v>25</v>
      </c>
      <c r="H13" s="80" t="s">
        <v>72</v>
      </c>
      <c r="I13" s="80" t="s">
        <v>25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1">
        <v>0</v>
      </c>
    </row>
    <row r="14" spans="2:44" ht="12" customHeight="1" x14ac:dyDescent="0.25">
      <c r="B14" s="79" t="s">
        <v>39</v>
      </c>
      <c r="C14" s="80" t="s">
        <v>40</v>
      </c>
      <c r="D14" s="80" t="s">
        <v>25</v>
      </c>
      <c r="E14" s="80" t="s">
        <v>25</v>
      </c>
      <c r="F14" s="80" t="s">
        <v>75</v>
      </c>
      <c r="G14" s="80" t="s">
        <v>34</v>
      </c>
      <c r="H14" s="80" t="s">
        <v>66</v>
      </c>
      <c r="I14" s="80" t="s">
        <v>25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1">
        <v>0</v>
      </c>
    </row>
    <row r="15" spans="2:44" ht="12" customHeight="1" x14ac:dyDescent="0.25">
      <c r="B15" s="79" t="s">
        <v>39</v>
      </c>
      <c r="C15" s="80" t="s">
        <v>40</v>
      </c>
      <c r="D15" s="80" t="s">
        <v>25</v>
      </c>
      <c r="E15" s="80" t="s">
        <v>25</v>
      </c>
      <c r="F15" s="80" t="s">
        <v>75</v>
      </c>
      <c r="G15" s="80" t="s">
        <v>25</v>
      </c>
      <c r="H15" s="80" t="s">
        <v>72</v>
      </c>
      <c r="I15" s="80" t="s">
        <v>25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1">
        <v>0</v>
      </c>
    </row>
    <row r="16" spans="2:44" ht="12" customHeight="1" x14ac:dyDescent="0.25">
      <c r="B16" s="79" t="s">
        <v>39</v>
      </c>
      <c r="C16" s="80" t="s">
        <v>40</v>
      </c>
      <c r="D16" s="80" t="s">
        <v>25</v>
      </c>
      <c r="E16" s="80" t="s">
        <v>25</v>
      </c>
      <c r="F16" s="80" t="s">
        <v>75</v>
      </c>
      <c r="G16" s="80" t="s">
        <v>35</v>
      </c>
      <c r="H16" s="80" t="s">
        <v>66</v>
      </c>
      <c r="I16" s="80" t="s">
        <v>25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1">
        <v>0</v>
      </c>
    </row>
    <row r="17" spans="2:44" ht="12" customHeight="1" x14ac:dyDescent="0.25">
      <c r="B17" s="79" t="s">
        <v>39</v>
      </c>
      <c r="C17" s="80" t="s">
        <v>40</v>
      </c>
      <c r="D17" s="80" t="s">
        <v>25</v>
      </c>
      <c r="E17" s="80" t="s">
        <v>25</v>
      </c>
      <c r="F17" s="80" t="s">
        <v>25</v>
      </c>
      <c r="G17" s="80" t="s">
        <v>34</v>
      </c>
      <c r="H17" s="80" t="s">
        <v>66</v>
      </c>
      <c r="I17" s="80" t="s">
        <v>25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1">
        <v>0</v>
      </c>
    </row>
    <row r="18" spans="2:44" ht="12" customHeight="1" x14ac:dyDescent="0.25">
      <c r="B18" s="79" t="s">
        <v>39</v>
      </c>
      <c r="C18" s="80" t="s">
        <v>40</v>
      </c>
      <c r="D18" s="80" t="s">
        <v>25</v>
      </c>
      <c r="E18" s="80" t="s">
        <v>25</v>
      </c>
      <c r="F18" s="80" t="s">
        <v>25</v>
      </c>
      <c r="G18" s="80" t="s">
        <v>25</v>
      </c>
      <c r="H18" s="80" t="s">
        <v>72</v>
      </c>
      <c r="I18" s="80" t="s">
        <v>25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81">
        <v>0</v>
      </c>
    </row>
    <row r="19" spans="2:44" ht="12" customHeight="1" x14ac:dyDescent="0.25">
      <c r="B19" s="79" t="s">
        <v>39</v>
      </c>
      <c r="C19" s="80" t="s">
        <v>40</v>
      </c>
      <c r="D19" s="80" t="s">
        <v>25</v>
      </c>
      <c r="E19" s="80" t="s">
        <v>25</v>
      </c>
      <c r="F19" s="80" t="s">
        <v>25</v>
      </c>
      <c r="G19" s="80" t="s">
        <v>35</v>
      </c>
      <c r="H19" s="80" t="s">
        <v>66</v>
      </c>
      <c r="I19" s="80" t="s">
        <v>25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v>0</v>
      </c>
      <c r="AE19" s="80">
        <v>0</v>
      </c>
      <c r="AF19" s="80">
        <v>0</v>
      </c>
      <c r="AG19" s="80">
        <v>0</v>
      </c>
      <c r="AH19" s="80">
        <v>0</v>
      </c>
      <c r="AI19" s="80">
        <v>0</v>
      </c>
      <c r="AJ19" s="80">
        <v>0</v>
      </c>
      <c r="AK19" s="80">
        <v>0</v>
      </c>
      <c r="AL19" s="80">
        <v>0</v>
      </c>
      <c r="AM19" s="80">
        <v>0</v>
      </c>
      <c r="AN19" s="80">
        <v>0</v>
      </c>
      <c r="AO19" s="80">
        <v>0</v>
      </c>
      <c r="AP19" s="80">
        <v>0</v>
      </c>
      <c r="AQ19" s="80">
        <v>0</v>
      </c>
      <c r="AR19" s="81">
        <v>0</v>
      </c>
    </row>
    <row r="20" spans="2:44" ht="12" customHeight="1" x14ac:dyDescent="0.25">
      <c r="B20" s="79" t="s">
        <v>77</v>
      </c>
      <c r="C20" s="80" t="s">
        <v>76</v>
      </c>
      <c r="D20" s="80" t="s">
        <v>25</v>
      </c>
      <c r="E20" s="80" t="s">
        <v>25</v>
      </c>
      <c r="F20" s="80" t="s">
        <v>78</v>
      </c>
      <c r="G20" s="80" t="s">
        <v>25</v>
      </c>
      <c r="H20" s="80" t="s">
        <v>72</v>
      </c>
      <c r="I20" s="80" t="s">
        <v>25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81">
        <v>0</v>
      </c>
    </row>
    <row r="21" spans="2:44" ht="12" customHeight="1" x14ac:dyDescent="0.25">
      <c r="B21" s="79" t="s">
        <v>77</v>
      </c>
      <c r="C21" s="80" t="s">
        <v>76</v>
      </c>
      <c r="D21" s="80" t="s">
        <v>25</v>
      </c>
      <c r="E21" s="80" t="s">
        <v>25</v>
      </c>
      <c r="F21" s="80" t="s">
        <v>79</v>
      </c>
      <c r="G21" s="80" t="s">
        <v>25</v>
      </c>
      <c r="H21" s="80" t="s">
        <v>72</v>
      </c>
      <c r="I21" s="80" t="s">
        <v>25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0</v>
      </c>
      <c r="AB21" s="80">
        <v>0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0</v>
      </c>
      <c r="AM21" s="80">
        <v>0</v>
      </c>
      <c r="AN21" s="80">
        <v>0</v>
      </c>
      <c r="AO21" s="80">
        <v>0</v>
      </c>
      <c r="AP21" s="80">
        <v>0</v>
      </c>
      <c r="AQ21" s="80">
        <v>0</v>
      </c>
      <c r="AR21" s="81">
        <v>0</v>
      </c>
    </row>
    <row r="22" spans="2:44" ht="12" customHeight="1" x14ac:dyDescent="0.25">
      <c r="B22" s="79" t="s">
        <v>22</v>
      </c>
      <c r="C22" s="80" t="s">
        <v>33</v>
      </c>
      <c r="D22" s="80" t="s">
        <v>24</v>
      </c>
      <c r="E22" s="80" t="s">
        <v>24</v>
      </c>
      <c r="F22" s="80" t="s">
        <v>25</v>
      </c>
      <c r="G22" s="80" t="s">
        <v>34</v>
      </c>
      <c r="H22" s="80" t="s">
        <v>66</v>
      </c>
      <c r="I22" s="80" t="s">
        <v>25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1">
        <v>0</v>
      </c>
    </row>
    <row r="23" spans="2:44" ht="12" customHeight="1" x14ac:dyDescent="0.25">
      <c r="B23" s="79" t="s">
        <v>22</v>
      </c>
      <c r="C23" s="80" t="s">
        <v>33</v>
      </c>
      <c r="D23" s="80" t="s">
        <v>24</v>
      </c>
      <c r="E23" s="80" t="s">
        <v>24</v>
      </c>
      <c r="F23" s="80" t="s">
        <v>25</v>
      </c>
      <c r="G23" s="80" t="s">
        <v>36</v>
      </c>
      <c r="H23" s="80" t="s">
        <v>66</v>
      </c>
      <c r="I23" s="80" t="s">
        <v>25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  <c r="AC23" s="80">
        <v>0</v>
      </c>
      <c r="AD23" s="80">
        <v>0</v>
      </c>
      <c r="AE23" s="80">
        <v>0</v>
      </c>
      <c r="AF23" s="80">
        <v>0</v>
      </c>
      <c r="AG23" s="80">
        <v>0</v>
      </c>
      <c r="AH23" s="80">
        <v>0</v>
      </c>
      <c r="AI23" s="80">
        <v>0</v>
      </c>
      <c r="AJ23" s="80">
        <v>0</v>
      </c>
      <c r="AK23" s="80">
        <v>0</v>
      </c>
      <c r="AL23" s="80">
        <v>0</v>
      </c>
      <c r="AM23" s="80">
        <v>0</v>
      </c>
      <c r="AN23" s="80">
        <v>0</v>
      </c>
      <c r="AO23" s="80">
        <v>0</v>
      </c>
      <c r="AP23" s="80">
        <v>0</v>
      </c>
      <c r="AQ23" s="80">
        <v>0</v>
      </c>
      <c r="AR23" s="81">
        <v>0</v>
      </c>
    </row>
    <row r="24" spans="2:44" ht="12" customHeight="1" x14ac:dyDescent="0.25">
      <c r="B24" s="79" t="s">
        <v>22</v>
      </c>
      <c r="C24" s="80" t="s">
        <v>33</v>
      </c>
      <c r="D24" s="80" t="s">
        <v>24</v>
      </c>
      <c r="E24" s="80" t="s">
        <v>24</v>
      </c>
      <c r="F24" s="80" t="s">
        <v>25</v>
      </c>
      <c r="G24" s="80" t="s">
        <v>35</v>
      </c>
      <c r="H24" s="80" t="s">
        <v>66</v>
      </c>
      <c r="I24" s="80" t="s">
        <v>25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0</v>
      </c>
      <c r="AN24" s="80">
        <v>0</v>
      </c>
      <c r="AO24" s="80">
        <v>0</v>
      </c>
      <c r="AP24" s="80">
        <v>0</v>
      </c>
      <c r="AQ24" s="80">
        <v>0</v>
      </c>
      <c r="AR24" s="81">
        <v>0</v>
      </c>
    </row>
    <row r="25" spans="2:44" ht="12" customHeight="1" x14ac:dyDescent="0.25">
      <c r="B25" s="79" t="s">
        <v>22</v>
      </c>
      <c r="C25" s="80" t="s">
        <v>23</v>
      </c>
      <c r="D25" s="80" t="s">
        <v>24</v>
      </c>
      <c r="E25" s="80" t="s">
        <v>1069</v>
      </c>
      <c r="F25" s="80" t="s">
        <v>25</v>
      </c>
      <c r="G25" s="80" t="s">
        <v>25</v>
      </c>
      <c r="H25" s="80" t="s">
        <v>66</v>
      </c>
      <c r="I25" s="80" t="s">
        <v>25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  <c r="X25" s="80">
        <v>0</v>
      </c>
      <c r="Y25" s="80">
        <v>0</v>
      </c>
      <c r="Z25" s="80">
        <v>0</v>
      </c>
      <c r="AA25" s="80">
        <v>0</v>
      </c>
      <c r="AB25" s="80">
        <v>0</v>
      </c>
      <c r="AC25" s="80">
        <v>0</v>
      </c>
      <c r="AD25" s="80">
        <v>0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0</v>
      </c>
      <c r="AK25" s="80">
        <v>0</v>
      </c>
      <c r="AL25" s="80">
        <v>0</v>
      </c>
      <c r="AM25" s="80">
        <v>0</v>
      </c>
      <c r="AN25" s="80">
        <v>0</v>
      </c>
      <c r="AO25" s="80">
        <v>0</v>
      </c>
      <c r="AP25" s="80">
        <v>0</v>
      </c>
      <c r="AQ25" s="80">
        <v>0</v>
      </c>
      <c r="AR25" s="81">
        <v>0</v>
      </c>
    </row>
    <row r="26" spans="2:44" ht="12" customHeight="1" x14ac:dyDescent="0.25">
      <c r="B26" s="79" t="s">
        <v>22</v>
      </c>
      <c r="C26" s="80" t="s">
        <v>23</v>
      </c>
      <c r="D26" s="80" t="s">
        <v>24</v>
      </c>
      <c r="E26" s="80" t="s">
        <v>24</v>
      </c>
      <c r="F26" s="80" t="s">
        <v>25</v>
      </c>
      <c r="G26" s="80" t="s">
        <v>25</v>
      </c>
      <c r="H26" s="80" t="s">
        <v>66</v>
      </c>
      <c r="I26" s="80" t="s">
        <v>25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1">
        <v>0</v>
      </c>
    </row>
    <row r="27" spans="2:44" ht="12" customHeight="1" x14ac:dyDescent="0.25">
      <c r="B27" s="79" t="s">
        <v>22</v>
      </c>
      <c r="C27" s="80" t="s">
        <v>82</v>
      </c>
      <c r="D27" s="80" t="s">
        <v>24</v>
      </c>
      <c r="E27" s="80" t="s">
        <v>1069</v>
      </c>
      <c r="F27" s="80" t="s">
        <v>25</v>
      </c>
      <c r="G27" s="80" t="s">
        <v>25</v>
      </c>
      <c r="H27" s="80" t="s">
        <v>66</v>
      </c>
      <c r="I27" s="80" t="s">
        <v>25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1">
        <v>0</v>
      </c>
    </row>
    <row r="28" spans="2:44" ht="12" customHeight="1" x14ac:dyDescent="0.25">
      <c r="B28" s="79" t="s">
        <v>22</v>
      </c>
      <c r="C28" s="80" t="s">
        <v>82</v>
      </c>
      <c r="D28" s="80" t="s">
        <v>24</v>
      </c>
      <c r="E28" s="80" t="s">
        <v>24</v>
      </c>
      <c r="F28" s="80" t="s">
        <v>25</v>
      </c>
      <c r="G28" s="80" t="s">
        <v>25</v>
      </c>
      <c r="H28" s="80" t="s">
        <v>66</v>
      </c>
      <c r="I28" s="80" t="s">
        <v>25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0</v>
      </c>
      <c r="AP28" s="80">
        <v>0</v>
      </c>
      <c r="AQ28" s="80">
        <v>0</v>
      </c>
      <c r="AR28" s="81">
        <v>0</v>
      </c>
    </row>
    <row r="29" spans="2:44" ht="12" customHeight="1" x14ac:dyDescent="0.25">
      <c r="B29" s="79" t="s">
        <v>41</v>
      </c>
      <c r="C29" s="80" t="s">
        <v>33</v>
      </c>
      <c r="D29" s="80" t="s">
        <v>42</v>
      </c>
      <c r="E29" s="80" t="s">
        <v>83</v>
      </c>
      <c r="F29" s="80" t="s">
        <v>25</v>
      </c>
      <c r="G29" s="80" t="s">
        <v>34</v>
      </c>
      <c r="H29" s="80" t="s">
        <v>66</v>
      </c>
      <c r="I29" s="80" t="s">
        <v>25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0</v>
      </c>
      <c r="Y29" s="80">
        <v>0</v>
      </c>
      <c r="Z29" s="80">
        <v>0</v>
      </c>
      <c r="AA29" s="80">
        <v>0</v>
      </c>
      <c r="AB29" s="80">
        <v>0</v>
      </c>
      <c r="AC29" s="80">
        <v>0</v>
      </c>
      <c r="AD29" s="80">
        <v>0</v>
      </c>
      <c r="AE29" s="80">
        <v>0</v>
      </c>
      <c r="AF29" s="80">
        <v>0</v>
      </c>
      <c r="AG29" s="80">
        <v>0</v>
      </c>
      <c r="AH29" s="80">
        <v>0</v>
      </c>
      <c r="AI29" s="80">
        <v>0</v>
      </c>
      <c r="AJ29" s="80">
        <v>0</v>
      </c>
      <c r="AK29" s="80">
        <v>0</v>
      </c>
      <c r="AL29" s="80">
        <v>0</v>
      </c>
      <c r="AM29" s="80">
        <v>0</v>
      </c>
      <c r="AN29" s="80">
        <v>0</v>
      </c>
      <c r="AO29" s="80">
        <v>0</v>
      </c>
      <c r="AP29" s="80">
        <v>0</v>
      </c>
      <c r="AQ29" s="80">
        <v>0</v>
      </c>
      <c r="AR29" s="81">
        <v>0</v>
      </c>
    </row>
    <row r="30" spans="2:44" ht="12" customHeight="1" x14ac:dyDescent="0.25">
      <c r="B30" s="79" t="s">
        <v>41</v>
      </c>
      <c r="C30" s="80" t="s">
        <v>33</v>
      </c>
      <c r="D30" s="80" t="s">
        <v>42</v>
      </c>
      <c r="E30" s="80" t="s">
        <v>83</v>
      </c>
      <c r="F30" s="80" t="s">
        <v>25</v>
      </c>
      <c r="G30" s="80" t="s">
        <v>36</v>
      </c>
      <c r="H30" s="80" t="s">
        <v>66</v>
      </c>
      <c r="I30" s="80" t="s">
        <v>25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0">
        <v>0</v>
      </c>
      <c r="Q30" s="80">
        <v>0</v>
      </c>
      <c r="R30" s="80">
        <v>0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0">
        <v>0</v>
      </c>
      <c r="AC30" s="80">
        <v>0</v>
      </c>
      <c r="AD30" s="80">
        <v>0</v>
      </c>
      <c r="AE30" s="80">
        <v>0</v>
      </c>
      <c r="AF30" s="80">
        <v>0</v>
      </c>
      <c r="AG30" s="80">
        <v>0</v>
      </c>
      <c r="AH30" s="80">
        <v>0</v>
      </c>
      <c r="AI30" s="80">
        <v>0</v>
      </c>
      <c r="AJ30" s="80">
        <v>0</v>
      </c>
      <c r="AK30" s="80">
        <v>0</v>
      </c>
      <c r="AL30" s="80">
        <v>0</v>
      </c>
      <c r="AM30" s="80">
        <v>0</v>
      </c>
      <c r="AN30" s="80">
        <v>0</v>
      </c>
      <c r="AO30" s="80">
        <v>0</v>
      </c>
      <c r="AP30" s="80">
        <v>0</v>
      </c>
      <c r="AQ30" s="80">
        <v>0</v>
      </c>
      <c r="AR30" s="81">
        <v>0</v>
      </c>
    </row>
    <row r="31" spans="2:44" ht="12" customHeight="1" x14ac:dyDescent="0.25">
      <c r="B31" s="79" t="s">
        <v>41</v>
      </c>
      <c r="C31" s="80" t="s">
        <v>33</v>
      </c>
      <c r="D31" s="80" t="s">
        <v>42</v>
      </c>
      <c r="E31" s="80" t="s">
        <v>83</v>
      </c>
      <c r="F31" s="80" t="s">
        <v>25</v>
      </c>
      <c r="G31" s="80" t="s">
        <v>35</v>
      </c>
      <c r="H31" s="80" t="s">
        <v>66</v>
      </c>
      <c r="I31" s="80" t="s">
        <v>25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  <c r="AB31" s="80">
        <v>0</v>
      </c>
      <c r="AC31" s="80">
        <v>0</v>
      </c>
      <c r="AD31" s="80">
        <v>0</v>
      </c>
      <c r="AE31" s="80">
        <v>0</v>
      </c>
      <c r="AF31" s="80">
        <v>0</v>
      </c>
      <c r="AG31" s="80">
        <v>0</v>
      </c>
      <c r="AH31" s="80">
        <v>0</v>
      </c>
      <c r="AI31" s="80">
        <v>0</v>
      </c>
      <c r="AJ31" s="80">
        <v>0</v>
      </c>
      <c r="AK31" s="80">
        <v>0</v>
      </c>
      <c r="AL31" s="80">
        <v>0</v>
      </c>
      <c r="AM31" s="80">
        <v>0</v>
      </c>
      <c r="AN31" s="80">
        <v>0</v>
      </c>
      <c r="AO31" s="80">
        <v>0</v>
      </c>
      <c r="AP31" s="80">
        <v>0</v>
      </c>
      <c r="AQ31" s="80">
        <v>0</v>
      </c>
      <c r="AR31" s="81">
        <v>0</v>
      </c>
    </row>
    <row r="32" spans="2:44" ht="12" customHeight="1" x14ac:dyDescent="0.25">
      <c r="B32" s="79" t="s">
        <v>41</v>
      </c>
      <c r="C32" s="80" t="s">
        <v>33</v>
      </c>
      <c r="D32" s="80" t="s">
        <v>42</v>
      </c>
      <c r="E32" s="80" t="s">
        <v>25</v>
      </c>
      <c r="F32" s="80" t="s">
        <v>25</v>
      </c>
      <c r="G32" s="80" t="s">
        <v>34</v>
      </c>
      <c r="H32" s="80" t="s">
        <v>66</v>
      </c>
      <c r="I32" s="80" t="s">
        <v>25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0">
        <v>0</v>
      </c>
      <c r="AC32" s="80">
        <v>0</v>
      </c>
      <c r="AD32" s="80">
        <v>0</v>
      </c>
      <c r="AE32" s="80">
        <v>0</v>
      </c>
      <c r="AF32" s="80">
        <v>0</v>
      </c>
      <c r="AG32" s="80">
        <v>0</v>
      </c>
      <c r="AH32" s="80">
        <v>0</v>
      </c>
      <c r="AI32" s="80">
        <v>0</v>
      </c>
      <c r="AJ32" s="80">
        <v>0</v>
      </c>
      <c r="AK32" s="80">
        <v>0</v>
      </c>
      <c r="AL32" s="80">
        <v>0</v>
      </c>
      <c r="AM32" s="80">
        <v>0</v>
      </c>
      <c r="AN32" s="80">
        <v>0</v>
      </c>
      <c r="AO32" s="80">
        <v>0</v>
      </c>
      <c r="AP32" s="80">
        <v>0</v>
      </c>
      <c r="AQ32" s="80">
        <v>0</v>
      </c>
      <c r="AR32" s="81">
        <v>0</v>
      </c>
    </row>
    <row r="33" spans="2:44" ht="12" customHeight="1" x14ac:dyDescent="0.25">
      <c r="B33" s="79" t="s">
        <v>41</v>
      </c>
      <c r="C33" s="80" t="s">
        <v>33</v>
      </c>
      <c r="D33" s="80" t="s">
        <v>42</v>
      </c>
      <c r="E33" s="80" t="s">
        <v>25</v>
      </c>
      <c r="F33" s="80" t="s">
        <v>25</v>
      </c>
      <c r="G33" s="80" t="s">
        <v>36</v>
      </c>
      <c r="H33" s="80" t="s">
        <v>66</v>
      </c>
      <c r="I33" s="80" t="s">
        <v>25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v>0</v>
      </c>
      <c r="AE33" s="80">
        <v>0</v>
      </c>
      <c r="AF33" s="80">
        <v>0</v>
      </c>
      <c r="AG33" s="80">
        <v>0</v>
      </c>
      <c r="AH33" s="80">
        <v>0</v>
      </c>
      <c r="AI33" s="80">
        <v>0</v>
      </c>
      <c r="AJ33" s="80">
        <v>0</v>
      </c>
      <c r="AK33" s="80">
        <v>0</v>
      </c>
      <c r="AL33" s="80">
        <v>0</v>
      </c>
      <c r="AM33" s="80">
        <v>0</v>
      </c>
      <c r="AN33" s="80">
        <v>0</v>
      </c>
      <c r="AO33" s="80">
        <v>0</v>
      </c>
      <c r="AP33" s="80">
        <v>0</v>
      </c>
      <c r="AQ33" s="80">
        <v>0</v>
      </c>
      <c r="AR33" s="81">
        <v>0</v>
      </c>
    </row>
    <row r="34" spans="2:44" ht="12" customHeight="1" x14ac:dyDescent="0.25">
      <c r="B34" s="79" t="s">
        <v>41</v>
      </c>
      <c r="C34" s="80" t="s">
        <v>33</v>
      </c>
      <c r="D34" s="80" t="s">
        <v>42</v>
      </c>
      <c r="E34" s="80" t="s">
        <v>25</v>
      </c>
      <c r="F34" s="80" t="s">
        <v>25</v>
      </c>
      <c r="G34" s="80" t="s">
        <v>35</v>
      </c>
      <c r="H34" s="80" t="s">
        <v>66</v>
      </c>
      <c r="I34" s="80" t="s">
        <v>25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0">
        <v>0</v>
      </c>
      <c r="AO34" s="80">
        <v>0</v>
      </c>
      <c r="AP34" s="80">
        <v>0</v>
      </c>
      <c r="AQ34" s="80">
        <v>0</v>
      </c>
      <c r="AR34" s="81">
        <v>0</v>
      </c>
    </row>
    <row r="35" spans="2:44" ht="12" customHeight="1" x14ac:dyDescent="0.25">
      <c r="B35" s="79" t="s">
        <v>41</v>
      </c>
      <c r="C35" s="80" t="s">
        <v>33</v>
      </c>
      <c r="D35" s="80" t="s">
        <v>42</v>
      </c>
      <c r="E35" s="80" t="s">
        <v>84</v>
      </c>
      <c r="F35" s="80" t="s">
        <v>25</v>
      </c>
      <c r="G35" s="80" t="s">
        <v>34</v>
      </c>
      <c r="H35" s="80" t="s">
        <v>66</v>
      </c>
      <c r="I35" s="80" t="s">
        <v>25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0</v>
      </c>
      <c r="AB35" s="80">
        <v>0</v>
      </c>
      <c r="AC35" s="80">
        <v>0</v>
      </c>
      <c r="AD35" s="80">
        <v>0</v>
      </c>
      <c r="AE35" s="80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0">
        <v>0</v>
      </c>
      <c r="AP35" s="80">
        <v>0</v>
      </c>
      <c r="AQ35" s="80">
        <v>0</v>
      </c>
      <c r="AR35" s="81">
        <v>0</v>
      </c>
    </row>
    <row r="36" spans="2:44" ht="12" customHeight="1" x14ac:dyDescent="0.25">
      <c r="B36" s="79" t="s">
        <v>41</v>
      </c>
      <c r="C36" s="80" t="s">
        <v>33</v>
      </c>
      <c r="D36" s="80" t="s">
        <v>42</v>
      </c>
      <c r="E36" s="80" t="s">
        <v>84</v>
      </c>
      <c r="F36" s="80" t="s">
        <v>25</v>
      </c>
      <c r="G36" s="80" t="s">
        <v>36</v>
      </c>
      <c r="H36" s="80" t="s">
        <v>66</v>
      </c>
      <c r="I36" s="80" t="s">
        <v>25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0</v>
      </c>
      <c r="Y36" s="80">
        <v>0</v>
      </c>
      <c r="Z36" s="80">
        <v>0</v>
      </c>
      <c r="AA36" s="80">
        <v>0</v>
      </c>
      <c r="AB36" s="80">
        <v>0</v>
      </c>
      <c r="AC36" s="80">
        <v>0</v>
      </c>
      <c r="AD36" s="80">
        <v>0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0</v>
      </c>
      <c r="AN36" s="80">
        <v>0</v>
      </c>
      <c r="AO36" s="80">
        <v>0</v>
      </c>
      <c r="AP36" s="80">
        <v>0</v>
      </c>
      <c r="AQ36" s="80">
        <v>0</v>
      </c>
      <c r="AR36" s="81">
        <v>0</v>
      </c>
    </row>
    <row r="37" spans="2:44" ht="12" customHeight="1" x14ac:dyDescent="0.25">
      <c r="B37" s="79" t="s">
        <v>41</v>
      </c>
      <c r="C37" s="80" t="s">
        <v>33</v>
      </c>
      <c r="D37" s="80" t="s">
        <v>42</v>
      </c>
      <c r="E37" s="80" t="s">
        <v>84</v>
      </c>
      <c r="F37" s="80" t="s">
        <v>25</v>
      </c>
      <c r="G37" s="80" t="s">
        <v>35</v>
      </c>
      <c r="H37" s="80" t="s">
        <v>66</v>
      </c>
      <c r="I37" s="80" t="s">
        <v>25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>
        <v>0</v>
      </c>
      <c r="AG37" s="80">
        <v>0</v>
      </c>
      <c r="AH37" s="80">
        <v>0</v>
      </c>
      <c r="AI37" s="80">
        <v>0</v>
      </c>
      <c r="AJ37" s="80">
        <v>0</v>
      </c>
      <c r="AK37" s="80">
        <v>0</v>
      </c>
      <c r="AL37" s="80">
        <v>0</v>
      </c>
      <c r="AM37" s="80">
        <v>0</v>
      </c>
      <c r="AN37" s="80">
        <v>0</v>
      </c>
      <c r="AO37" s="80">
        <v>0</v>
      </c>
      <c r="AP37" s="80">
        <v>0</v>
      </c>
      <c r="AQ37" s="80">
        <v>0</v>
      </c>
      <c r="AR37" s="81">
        <v>0</v>
      </c>
    </row>
    <row r="38" spans="2:44" ht="12" customHeight="1" x14ac:dyDescent="0.25">
      <c r="B38" s="79" t="s">
        <v>41</v>
      </c>
      <c r="C38" s="80" t="s">
        <v>23</v>
      </c>
      <c r="D38" s="80" t="s">
        <v>42</v>
      </c>
      <c r="E38" s="80" t="s">
        <v>83</v>
      </c>
      <c r="F38" s="80" t="s">
        <v>25</v>
      </c>
      <c r="G38" s="80" t="s">
        <v>25</v>
      </c>
      <c r="H38" s="80" t="s">
        <v>66</v>
      </c>
      <c r="I38" s="80" t="s">
        <v>25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>
        <v>0</v>
      </c>
      <c r="AD38" s="80">
        <v>0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0</v>
      </c>
      <c r="AN38" s="80">
        <v>0</v>
      </c>
      <c r="AO38" s="80">
        <v>0</v>
      </c>
      <c r="AP38" s="80">
        <v>0</v>
      </c>
      <c r="AQ38" s="80">
        <v>0</v>
      </c>
      <c r="AR38" s="81">
        <v>0</v>
      </c>
    </row>
    <row r="39" spans="2:44" ht="12" customHeight="1" x14ac:dyDescent="0.25">
      <c r="B39" s="79" t="s">
        <v>41</v>
      </c>
      <c r="C39" s="80" t="s">
        <v>23</v>
      </c>
      <c r="D39" s="80" t="s">
        <v>42</v>
      </c>
      <c r="E39" s="80" t="s">
        <v>25</v>
      </c>
      <c r="F39" s="80" t="s">
        <v>25</v>
      </c>
      <c r="G39" s="80" t="s">
        <v>25</v>
      </c>
      <c r="H39" s="80" t="s">
        <v>66</v>
      </c>
      <c r="I39" s="80" t="s">
        <v>25</v>
      </c>
      <c r="J39" s="80">
        <v>0</v>
      </c>
      <c r="K39" s="80">
        <v>0</v>
      </c>
      <c r="L39" s="80">
        <v>0</v>
      </c>
      <c r="M39" s="80">
        <v>0</v>
      </c>
      <c r="N39" s="80">
        <v>0</v>
      </c>
      <c r="O39" s="80">
        <v>0</v>
      </c>
      <c r="P39" s="80">
        <v>0</v>
      </c>
      <c r="Q39" s="80">
        <v>0</v>
      </c>
      <c r="R39" s="80">
        <v>0</v>
      </c>
      <c r="S39" s="80">
        <v>0</v>
      </c>
      <c r="T39" s="80">
        <v>0</v>
      </c>
      <c r="U39" s="80">
        <v>0</v>
      </c>
      <c r="V39" s="80">
        <v>0</v>
      </c>
      <c r="W39" s="80">
        <v>0</v>
      </c>
      <c r="X39" s="80">
        <v>0</v>
      </c>
      <c r="Y39" s="80">
        <v>0</v>
      </c>
      <c r="Z39" s="80">
        <v>0</v>
      </c>
      <c r="AA39" s="80">
        <v>0</v>
      </c>
      <c r="AB39" s="80">
        <v>0</v>
      </c>
      <c r="AC39" s="80">
        <v>0</v>
      </c>
      <c r="AD39" s="80">
        <v>0</v>
      </c>
      <c r="AE39" s="80">
        <v>0</v>
      </c>
      <c r="AF39" s="80">
        <v>0</v>
      </c>
      <c r="AG39" s="80">
        <v>0</v>
      </c>
      <c r="AH39" s="80">
        <v>0</v>
      </c>
      <c r="AI39" s="80">
        <v>0</v>
      </c>
      <c r="AJ39" s="80">
        <v>0</v>
      </c>
      <c r="AK39" s="80">
        <v>0</v>
      </c>
      <c r="AL39" s="80">
        <v>0</v>
      </c>
      <c r="AM39" s="80">
        <v>0</v>
      </c>
      <c r="AN39" s="80">
        <v>0</v>
      </c>
      <c r="AO39" s="80">
        <v>0</v>
      </c>
      <c r="AP39" s="80">
        <v>0</v>
      </c>
      <c r="AQ39" s="80">
        <v>0</v>
      </c>
      <c r="AR39" s="81">
        <v>0</v>
      </c>
    </row>
    <row r="40" spans="2:44" ht="12" customHeight="1" x14ac:dyDescent="0.25">
      <c r="B40" s="79" t="s">
        <v>41</v>
      </c>
      <c r="C40" s="80" t="s">
        <v>23</v>
      </c>
      <c r="D40" s="80" t="s">
        <v>42</v>
      </c>
      <c r="E40" s="80" t="s">
        <v>84</v>
      </c>
      <c r="F40" s="80" t="s">
        <v>25</v>
      </c>
      <c r="G40" s="80" t="s">
        <v>25</v>
      </c>
      <c r="H40" s="80" t="s">
        <v>66</v>
      </c>
      <c r="I40" s="80" t="s">
        <v>25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0">
        <v>0</v>
      </c>
      <c r="AC40" s="80">
        <v>0</v>
      </c>
      <c r="AD40" s="80">
        <v>0</v>
      </c>
      <c r="AE40" s="80">
        <v>0</v>
      </c>
      <c r="AF40" s="80">
        <v>0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0</v>
      </c>
      <c r="AN40" s="80">
        <v>0</v>
      </c>
      <c r="AO40" s="80">
        <v>0</v>
      </c>
      <c r="AP40" s="80">
        <v>0</v>
      </c>
      <c r="AQ40" s="80">
        <v>0</v>
      </c>
      <c r="AR40" s="81">
        <v>0</v>
      </c>
    </row>
    <row r="41" spans="2:44" ht="12" customHeight="1" x14ac:dyDescent="0.25">
      <c r="B41" s="79" t="s">
        <v>41</v>
      </c>
      <c r="C41" s="80" t="s">
        <v>82</v>
      </c>
      <c r="D41" s="80" t="s">
        <v>42</v>
      </c>
      <c r="E41" s="80" t="s">
        <v>83</v>
      </c>
      <c r="F41" s="80" t="s">
        <v>25</v>
      </c>
      <c r="G41" s="80" t="s">
        <v>25</v>
      </c>
      <c r="H41" s="80" t="s">
        <v>66</v>
      </c>
      <c r="I41" s="80" t="s">
        <v>25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>
        <v>0</v>
      </c>
      <c r="Y41" s="80">
        <v>0</v>
      </c>
      <c r="Z41" s="80">
        <v>0</v>
      </c>
      <c r="AA41" s="80">
        <v>0</v>
      </c>
      <c r="AB41" s="80">
        <v>0</v>
      </c>
      <c r="AC41" s="80">
        <v>0</v>
      </c>
      <c r="AD41" s="80">
        <v>0</v>
      </c>
      <c r="AE41" s="80">
        <v>0</v>
      </c>
      <c r="AF41" s="80">
        <v>0</v>
      </c>
      <c r="AG41" s="80">
        <v>0</v>
      </c>
      <c r="AH41" s="80">
        <v>0</v>
      </c>
      <c r="AI41" s="80">
        <v>0</v>
      </c>
      <c r="AJ41" s="80">
        <v>0</v>
      </c>
      <c r="AK41" s="80">
        <v>0</v>
      </c>
      <c r="AL41" s="80">
        <v>0</v>
      </c>
      <c r="AM41" s="80">
        <v>0</v>
      </c>
      <c r="AN41" s="80">
        <v>0</v>
      </c>
      <c r="AO41" s="80">
        <v>0</v>
      </c>
      <c r="AP41" s="80">
        <v>0</v>
      </c>
      <c r="AQ41" s="80">
        <v>0</v>
      </c>
      <c r="AR41" s="81">
        <v>0</v>
      </c>
    </row>
    <row r="42" spans="2:44" ht="12" customHeight="1" x14ac:dyDescent="0.25">
      <c r="B42" s="79" t="s">
        <v>41</v>
      </c>
      <c r="C42" s="80" t="s">
        <v>82</v>
      </c>
      <c r="D42" s="80" t="s">
        <v>42</v>
      </c>
      <c r="E42" s="80" t="s">
        <v>25</v>
      </c>
      <c r="F42" s="80" t="s">
        <v>25</v>
      </c>
      <c r="G42" s="80" t="s">
        <v>25</v>
      </c>
      <c r="H42" s="80" t="s">
        <v>66</v>
      </c>
      <c r="I42" s="80" t="s">
        <v>25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0">
        <v>0</v>
      </c>
      <c r="AO42" s="80">
        <v>0</v>
      </c>
      <c r="AP42" s="80">
        <v>0</v>
      </c>
      <c r="AQ42" s="80">
        <v>0</v>
      </c>
      <c r="AR42" s="81">
        <v>0</v>
      </c>
    </row>
    <row r="43" spans="2:44" ht="12" customHeight="1" x14ac:dyDescent="0.25">
      <c r="B43" s="79" t="s">
        <v>41</v>
      </c>
      <c r="C43" s="80" t="s">
        <v>82</v>
      </c>
      <c r="D43" s="80" t="s">
        <v>42</v>
      </c>
      <c r="E43" s="80" t="s">
        <v>84</v>
      </c>
      <c r="F43" s="80" t="s">
        <v>25</v>
      </c>
      <c r="G43" s="80" t="s">
        <v>25</v>
      </c>
      <c r="H43" s="80" t="s">
        <v>66</v>
      </c>
      <c r="I43" s="80" t="s">
        <v>25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>
        <v>0</v>
      </c>
      <c r="AD43" s="80">
        <v>0</v>
      </c>
      <c r="AE43" s="80">
        <v>0</v>
      </c>
      <c r="AF43" s="80">
        <v>0</v>
      </c>
      <c r="AG43" s="80">
        <v>0</v>
      </c>
      <c r="AH43" s="80">
        <v>0</v>
      </c>
      <c r="AI43" s="80">
        <v>0</v>
      </c>
      <c r="AJ43" s="80">
        <v>0</v>
      </c>
      <c r="AK43" s="80">
        <v>0</v>
      </c>
      <c r="AL43" s="80">
        <v>0</v>
      </c>
      <c r="AM43" s="80">
        <v>0</v>
      </c>
      <c r="AN43" s="80">
        <v>0</v>
      </c>
      <c r="AO43" s="80">
        <v>0</v>
      </c>
      <c r="AP43" s="80">
        <v>0</v>
      </c>
      <c r="AQ43" s="80">
        <v>0</v>
      </c>
      <c r="AR43" s="81">
        <v>0</v>
      </c>
    </row>
    <row r="44" spans="2:44" ht="12" customHeight="1" x14ac:dyDescent="0.25">
      <c r="B44" s="79" t="s">
        <v>37</v>
      </c>
      <c r="C44" s="80" t="s">
        <v>33</v>
      </c>
      <c r="D44" s="80" t="s">
        <v>25</v>
      </c>
      <c r="E44" s="80" t="s">
        <v>25</v>
      </c>
      <c r="F44" s="80" t="s">
        <v>25</v>
      </c>
      <c r="G44" s="80" t="s">
        <v>34</v>
      </c>
      <c r="H44" s="80" t="s">
        <v>66</v>
      </c>
      <c r="I44" s="80" t="s">
        <v>25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1">
        <v>0</v>
      </c>
    </row>
    <row r="45" spans="2:44" ht="12" customHeight="1" x14ac:dyDescent="0.25">
      <c r="B45" s="79" t="s">
        <v>37</v>
      </c>
      <c r="C45" s="80" t="s">
        <v>33</v>
      </c>
      <c r="D45" s="80" t="s">
        <v>25</v>
      </c>
      <c r="E45" s="80" t="s">
        <v>25</v>
      </c>
      <c r="F45" s="80" t="s">
        <v>25</v>
      </c>
      <c r="G45" s="80" t="s">
        <v>36</v>
      </c>
      <c r="H45" s="80" t="s">
        <v>66</v>
      </c>
      <c r="I45" s="80" t="s">
        <v>25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0">
        <v>0</v>
      </c>
      <c r="AE45" s="80">
        <v>0</v>
      </c>
      <c r="AF45" s="80">
        <v>0</v>
      </c>
      <c r="AG45" s="80">
        <v>0</v>
      </c>
      <c r="AH45" s="80">
        <v>0</v>
      </c>
      <c r="AI45" s="80">
        <v>0</v>
      </c>
      <c r="AJ45" s="80">
        <v>0</v>
      </c>
      <c r="AK45" s="80">
        <v>0</v>
      </c>
      <c r="AL45" s="80">
        <v>0</v>
      </c>
      <c r="AM45" s="80">
        <v>0</v>
      </c>
      <c r="AN45" s="80">
        <v>0</v>
      </c>
      <c r="AO45" s="80">
        <v>0</v>
      </c>
      <c r="AP45" s="80">
        <v>0</v>
      </c>
      <c r="AQ45" s="80">
        <v>0</v>
      </c>
      <c r="AR45" s="81">
        <v>0</v>
      </c>
    </row>
    <row r="46" spans="2:44" ht="12" customHeight="1" x14ac:dyDescent="0.25">
      <c r="B46" s="79" t="s">
        <v>37</v>
      </c>
      <c r="C46" s="80" t="s">
        <v>33</v>
      </c>
      <c r="D46" s="80" t="s">
        <v>25</v>
      </c>
      <c r="E46" s="80" t="s">
        <v>25</v>
      </c>
      <c r="F46" s="80" t="s">
        <v>25</v>
      </c>
      <c r="G46" s="80" t="s">
        <v>35</v>
      </c>
      <c r="H46" s="80" t="s">
        <v>66</v>
      </c>
      <c r="I46" s="80" t="s">
        <v>25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0">
        <v>0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80">
        <v>0</v>
      </c>
      <c r="AL46" s="80">
        <v>0</v>
      </c>
      <c r="AM46" s="80">
        <v>0</v>
      </c>
      <c r="AN46" s="80">
        <v>0</v>
      </c>
      <c r="AO46" s="80">
        <v>0</v>
      </c>
      <c r="AP46" s="80">
        <v>0</v>
      </c>
      <c r="AQ46" s="80">
        <v>0</v>
      </c>
      <c r="AR46" s="81">
        <v>0</v>
      </c>
    </row>
    <row r="47" spans="2:44" ht="12" customHeight="1" x14ac:dyDescent="0.25">
      <c r="B47" s="79" t="s">
        <v>37</v>
      </c>
      <c r="C47" s="80" t="s">
        <v>23</v>
      </c>
      <c r="D47" s="80" t="s">
        <v>25</v>
      </c>
      <c r="E47" s="80" t="s">
        <v>25</v>
      </c>
      <c r="F47" s="80" t="s">
        <v>25</v>
      </c>
      <c r="G47" s="80" t="s">
        <v>25</v>
      </c>
      <c r="H47" s="80" t="s">
        <v>66</v>
      </c>
      <c r="I47" s="80" t="s">
        <v>25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>
        <v>0</v>
      </c>
      <c r="AD47" s="80">
        <v>0</v>
      </c>
      <c r="AE47" s="80">
        <v>0</v>
      </c>
      <c r="AF47" s="80">
        <v>0</v>
      </c>
      <c r="AG47" s="80">
        <v>0</v>
      </c>
      <c r="AH47" s="80">
        <v>0</v>
      </c>
      <c r="AI47" s="80">
        <v>0</v>
      </c>
      <c r="AJ47" s="80">
        <v>0</v>
      </c>
      <c r="AK47" s="80">
        <v>0</v>
      </c>
      <c r="AL47" s="80">
        <v>0</v>
      </c>
      <c r="AM47" s="80">
        <v>0</v>
      </c>
      <c r="AN47" s="80">
        <v>0</v>
      </c>
      <c r="AO47" s="80">
        <v>0</v>
      </c>
      <c r="AP47" s="80">
        <v>0</v>
      </c>
      <c r="AQ47" s="80">
        <v>0</v>
      </c>
      <c r="AR47" s="81">
        <v>0</v>
      </c>
    </row>
    <row r="48" spans="2:44" ht="12" customHeight="1" x14ac:dyDescent="0.25">
      <c r="B48" s="79" t="s">
        <v>37</v>
      </c>
      <c r="C48" s="80" t="s">
        <v>82</v>
      </c>
      <c r="D48" s="80" t="s">
        <v>25</v>
      </c>
      <c r="E48" s="80" t="s">
        <v>25</v>
      </c>
      <c r="F48" s="80" t="s">
        <v>25</v>
      </c>
      <c r="G48" s="80" t="s">
        <v>25</v>
      </c>
      <c r="H48" s="80" t="s">
        <v>66</v>
      </c>
      <c r="I48" s="80" t="s">
        <v>25</v>
      </c>
      <c r="J48" s="80">
        <v>0</v>
      </c>
      <c r="K48" s="80">
        <v>0</v>
      </c>
      <c r="L48" s="80">
        <v>0</v>
      </c>
      <c r="M48" s="80">
        <v>0</v>
      </c>
      <c r="N48" s="80">
        <v>0</v>
      </c>
      <c r="O48" s="80">
        <v>0</v>
      </c>
      <c r="P48" s="80">
        <v>0</v>
      </c>
      <c r="Q48" s="80">
        <v>0</v>
      </c>
      <c r="R48" s="80">
        <v>0</v>
      </c>
      <c r="S48" s="80">
        <v>0</v>
      </c>
      <c r="T48" s="80">
        <v>0</v>
      </c>
      <c r="U48" s="80">
        <v>0</v>
      </c>
      <c r="V48" s="80">
        <v>0</v>
      </c>
      <c r="W48" s="80">
        <v>0</v>
      </c>
      <c r="X48" s="80">
        <v>0</v>
      </c>
      <c r="Y48" s="80">
        <v>0</v>
      </c>
      <c r="Z48" s="80">
        <v>0</v>
      </c>
      <c r="AA48" s="80">
        <v>0</v>
      </c>
      <c r="AB48" s="80">
        <v>0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0</v>
      </c>
      <c r="AO48" s="80">
        <v>0</v>
      </c>
      <c r="AP48" s="80">
        <v>0</v>
      </c>
      <c r="AQ48" s="80">
        <v>0</v>
      </c>
      <c r="AR48" s="81">
        <v>0</v>
      </c>
    </row>
    <row r="49" spans="2:44" ht="12" customHeight="1" x14ac:dyDescent="0.25">
      <c r="B49" s="79" t="s">
        <v>44</v>
      </c>
      <c r="C49" s="80" t="s">
        <v>23</v>
      </c>
      <c r="D49" s="80" t="s">
        <v>45</v>
      </c>
      <c r="E49" s="80" t="s">
        <v>46</v>
      </c>
      <c r="F49" s="80" t="s">
        <v>25</v>
      </c>
      <c r="G49" s="80" t="s">
        <v>25</v>
      </c>
      <c r="H49" s="80" t="s">
        <v>66</v>
      </c>
      <c r="I49" s="80" t="s">
        <v>25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v>0</v>
      </c>
      <c r="AR49" s="81">
        <v>0</v>
      </c>
    </row>
    <row r="50" spans="2:44" ht="12" customHeight="1" x14ac:dyDescent="0.25">
      <c r="B50" s="82" t="s">
        <v>44</v>
      </c>
      <c r="C50" s="83" t="s">
        <v>23</v>
      </c>
      <c r="D50" s="83" t="s">
        <v>45</v>
      </c>
      <c r="E50" s="83" t="s">
        <v>85</v>
      </c>
      <c r="F50" s="83" t="s">
        <v>25</v>
      </c>
      <c r="G50" s="83" t="s">
        <v>25</v>
      </c>
      <c r="H50" s="83" t="s">
        <v>66</v>
      </c>
      <c r="I50" s="83" t="s">
        <v>25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4">
        <v>0</v>
      </c>
    </row>
  </sheetData>
  <mergeCells count="8">
    <mergeCell ref="L1:AG1"/>
    <mergeCell ref="AH1:AR1"/>
    <mergeCell ref="L2:S2"/>
    <mergeCell ref="T2:Z2"/>
    <mergeCell ref="AB2:AC2"/>
    <mergeCell ref="AD2:AG2"/>
    <mergeCell ref="AH2:AL2"/>
    <mergeCell ref="AN2:AQ2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1663-7A2A-46A7-8AAE-8875BE832D47}">
  <dimension ref="A1:AD49"/>
  <sheetViews>
    <sheetView showGridLines="0" workbookViewId="0">
      <selection activeCell="A2" sqref="A2:A11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5.7109375" style="9" bestFit="1" customWidth="1"/>
    <col min="10" max="13" width="7" style="9" bestFit="1" customWidth="1"/>
    <col min="14" max="14" width="6.140625" style="9" bestFit="1" customWidth="1"/>
    <col min="15" max="15" width="7" style="9" bestFit="1" customWidth="1"/>
    <col min="16" max="16" width="5.7109375" style="9" bestFit="1" customWidth="1"/>
    <col min="17" max="17" width="6.42578125" style="9" bestFit="1" customWidth="1"/>
    <col min="18" max="18" width="5.85546875" style="9" bestFit="1" customWidth="1"/>
    <col min="19" max="19" width="6.140625" style="9" bestFit="1" customWidth="1"/>
    <col min="20" max="20" width="5.7109375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56</v>
      </c>
      <c r="B1" s="10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1">
        <v>44378</v>
      </c>
      <c r="J1" s="11">
        <v>44409</v>
      </c>
      <c r="K1" s="11">
        <v>44440</v>
      </c>
      <c r="L1" s="11">
        <v>44470</v>
      </c>
      <c r="M1" s="11">
        <v>44501</v>
      </c>
      <c r="N1" s="11">
        <v>44531</v>
      </c>
      <c r="O1" s="11">
        <v>44562</v>
      </c>
      <c r="P1" s="11">
        <v>44593</v>
      </c>
      <c r="Q1" s="11">
        <v>44621</v>
      </c>
      <c r="R1" s="11">
        <v>44652</v>
      </c>
      <c r="S1" s="11">
        <v>44682</v>
      </c>
      <c r="T1" s="11">
        <v>44713</v>
      </c>
      <c r="U1" s="10" t="s">
        <v>64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7" t="s">
        <v>39</v>
      </c>
      <c r="B2" s="87" t="s">
        <v>71</v>
      </c>
      <c r="C2" s="87" t="s">
        <v>25</v>
      </c>
      <c r="D2" s="87" t="s">
        <v>25</v>
      </c>
      <c r="E2" s="87" t="s">
        <v>25</v>
      </c>
      <c r="F2" s="87" t="s">
        <v>25</v>
      </c>
      <c r="G2" s="13" t="s">
        <v>73</v>
      </c>
      <c r="H2" s="13" t="s">
        <v>72</v>
      </c>
      <c r="I2" s="13">
        <f>SUMIF(Mercado_Receita!$S$2:$S$241,"44378A4AzulNão se aplicaNão se aplicaNão se aplicaNão se aplicaPonta",Mercado_Receita!$J$2:$J$241)+SUMIF(Mercado_Receita!$S$2:$S$241,"44378A4AzulNão se aplicaNão se aplicaAPENão se aplicaPonta",Mercado_Receita!$J$2:$J$241)</f>
        <v>0</v>
      </c>
      <c r="J2" s="13">
        <f>SUMIF(Mercado_Receita!$S$2:$S$241,"44409A4AzulNão se aplicaNão se aplicaNão se aplicaNão se aplicaPonta",Mercado_Receita!$J$2:$J$241)+SUMIF(Mercado_Receita!$S$2:$S$241,"44409A4AzulNão se aplicaNão se aplicaAPENão se aplicaPonta",Mercado_Receita!$J$2:$J$241)</f>
        <v>0</v>
      </c>
      <c r="K2" s="13">
        <f>SUMIF(Mercado_Receita!$S$2:$S$241,"44440A4AzulNão se aplicaNão se aplicaNão se aplicaNão se aplicaPonta",Mercado_Receita!$J$2:$J$241)+SUMIF(Mercado_Receita!$S$2:$S$241,"44440A4AzulNão se aplicaNão se aplicaAPENão se aplicaPonta",Mercado_Receita!$J$2:$J$241)</f>
        <v>0</v>
      </c>
      <c r="L2" s="13">
        <f>SUMIF(Mercado_Receita!$S$2:$S$241,"44470A4AzulNão se aplicaNão se aplicaNão se aplicaNão se aplicaPonta",Mercado_Receita!$J$2:$J$241)+SUMIF(Mercado_Receita!$S$2:$S$241,"44470A4AzulNão se aplicaNão se aplicaAPENão se aplicaPonta",Mercado_Receita!$J$2:$J$241)</f>
        <v>0</v>
      </c>
      <c r="M2" s="13">
        <f>SUMIF(Mercado_Receita!$S$2:$S$241,"44501A4AzulNão se aplicaNão se aplicaNão se aplicaNão se aplicaPonta",Mercado_Receita!$J$2:$J$241)+SUMIF(Mercado_Receita!$S$2:$S$241,"44501A4AzulNão se aplicaNão se aplicaAPENão se aplicaPonta",Mercado_Receita!$J$2:$J$241)</f>
        <v>0</v>
      </c>
      <c r="N2" s="13">
        <f>SUMIF(Mercado_Receita!$S$2:$S$241,"44531A4AzulNão se aplicaNão se aplicaNão se aplicaNão se aplicaPonta",Mercado_Receita!$J$2:$J$241)+SUMIF(Mercado_Receita!$S$2:$S$241,"44531A4AzulNão se aplicaNão se aplicaAPENão se aplicaPonta",Mercado_Receita!$J$2:$J$241)</f>
        <v>0</v>
      </c>
      <c r="O2" s="13">
        <f>SUMIF(Mercado_Receita!$S$2:$S$241,"44562A4AzulNão se aplicaNão se aplicaNão se aplicaNão se aplicaPonta",Mercado_Receita!$J$2:$J$241)+SUMIF(Mercado_Receita!$S$2:$S$241,"44562A4AzulNão se aplicaNão se aplicaAPENão se aplicaPonta",Mercado_Receita!$J$2:$J$241)</f>
        <v>0</v>
      </c>
      <c r="P2" s="13">
        <f>SUMIF(Mercado_Receita!$S$2:$S$241,"44593A4AzulNão se aplicaNão se aplicaNão se aplicaNão se aplicaPonta",Mercado_Receita!$J$2:$J$241)+SUMIF(Mercado_Receita!$S$2:$S$241,"44593A4AzulNão se aplicaNão se aplicaAPENão se aplicaPonta",Mercado_Receita!$J$2:$J$241)</f>
        <v>0</v>
      </c>
      <c r="Q2" s="13">
        <f>SUMIF(Mercado_Receita!$S$2:$S$241,"44621A4AzulNão se aplicaNão se aplicaNão se aplicaNão se aplicaPonta",Mercado_Receita!$J$2:$J$241)+SUMIF(Mercado_Receita!$S$2:$S$241,"44621A4AzulNão se aplicaNão se aplicaAPENão se aplicaPonta",Mercado_Receita!$J$2:$J$241)</f>
        <v>0</v>
      </c>
      <c r="R2" s="13">
        <f>SUMIF(Mercado_Receita!$S$2:$S$241,"44652A4AzulNão se aplicaNão se aplicaNão se aplicaNão se aplicaPonta",Mercado_Receita!$J$2:$J$241)+SUMIF(Mercado_Receita!$S$2:$S$241,"44652A4AzulNão se aplicaNão se aplicaAPENão se aplicaPonta",Mercado_Receita!$J$2:$J$241)</f>
        <v>0</v>
      </c>
      <c r="S2" s="13">
        <f>SUMIF(Mercado_Receita!$S$2:$S$241,"44682A4AzulNão se aplicaNão se aplicaNão se aplicaNão se aplicaPonta",Mercado_Receita!$J$2:$J$241)+SUMIF(Mercado_Receita!$S$2:$S$241,"44682A4AzulNão se aplicaNão se aplicaAPENão se aplicaPonta",Mercado_Receita!$J$2:$J$241)</f>
        <v>0</v>
      </c>
      <c r="T2" s="13">
        <f>SUMIF(Mercado_Receita!$S$2:$S$241,"44713A4AzulNão se aplicaNão se aplicaNão se aplicaNão se aplicaPonta",Mercado_Receita!$J$2:$J$241)+SUMIF(Mercado_Receita!$S$2:$S$241,"44713A4AzulNão se aplicaNão se aplicaAPENão se aplicaPonta",Mercado_Receita!$J$2:$J$241)</f>
        <v>0</v>
      </c>
      <c r="U2" s="13">
        <f t="shared" ref="U2:U48" si="0">SUM(I2:T2)</f>
        <v>0</v>
      </c>
      <c r="V2" s="13"/>
      <c r="W2" s="13"/>
    </row>
    <row r="3" spans="1:30" ht="11.25" customHeight="1" x14ac:dyDescent="0.25">
      <c r="A3" s="88"/>
      <c r="B3" s="88"/>
      <c r="C3" s="88"/>
      <c r="D3" s="88"/>
      <c r="E3" s="88"/>
      <c r="F3" s="88"/>
      <c r="G3" s="13" t="s">
        <v>74</v>
      </c>
      <c r="H3" s="13" t="s">
        <v>72</v>
      </c>
      <c r="I3" s="13">
        <f>SUMIF(Mercado_Receita!$S$2:$S$241,"44378A4AzulNão se aplicaNão se aplicaNão se aplicaNão se aplicaFora ponta",Mercado_Receita!$J$2:$J$241)+SUMIF(Mercado_Receita!$S$2:$S$241,"44378A4AzulNão se aplicaNão se aplicaAPENão se aplicaFora ponta",Mercado_Receita!$J$2:$J$241)</f>
        <v>0</v>
      </c>
      <c r="J3" s="13">
        <f>SUMIF(Mercado_Receita!$S$2:$S$241,"44409A4AzulNão se aplicaNão se aplicaNão se aplicaNão se aplicaFora ponta",Mercado_Receita!$J$2:$J$241)+SUMIF(Mercado_Receita!$S$2:$S$241,"44409A4AzulNão se aplicaNão se aplicaAPENão se aplicaFora ponta",Mercado_Receita!$J$2:$J$241)</f>
        <v>0</v>
      </c>
      <c r="K3" s="13">
        <f>SUMIF(Mercado_Receita!$S$2:$S$241,"44440A4AzulNão se aplicaNão se aplicaNão se aplicaNão se aplicaFora ponta",Mercado_Receita!$J$2:$J$241)+SUMIF(Mercado_Receita!$S$2:$S$241,"44440A4AzulNão se aplicaNão se aplicaAPENão se aplicaFora ponta",Mercado_Receita!$J$2:$J$241)</f>
        <v>0</v>
      </c>
      <c r="L3" s="13">
        <f>SUMIF(Mercado_Receita!$S$2:$S$241,"44470A4AzulNão se aplicaNão se aplicaNão se aplicaNão se aplicaFora ponta",Mercado_Receita!$J$2:$J$241)+SUMIF(Mercado_Receita!$S$2:$S$241,"44470A4AzulNão se aplicaNão se aplicaAPENão se aplicaFora ponta",Mercado_Receita!$J$2:$J$241)</f>
        <v>0</v>
      </c>
      <c r="M3" s="13">
        <f>SUMIF(Mercado_Receita!$S$2:$S$241,"44501A4AzulNão se aplicaNão se aplicaNão se aplicaNão se aplicaFora ponta",Mercado_Receita!$J$2:$J$241)+SUMIF(Mercado_Receita!$S$2:$S$241,"44501A4AzulNão se aplicaNão se aplicaAPENão se aplicaFora ponta",Mercado_Receita!$J$2:$J$241)</f>
        <v>0</v>
      </c>
      <c r="N3" s="13">
        <f>SUMIF(Mercado_Receita!$S$2:$S$241,"44531A4AzulNão se aplicaNão se aplicaNão se aplicaNão se aplicaFora ponta",Mercado_Receita!$J$2:$J$241)+SUMIF(Mercado_Receita!$S$2:$S$241,"44531A4AzulNão se aplicaNão se aplicaAPENão se aplicaFora ponta",Mercado_Receita!$J$2:$J$241)</f>
        <v>0</v>
      </c>
      <c r="O3" s="13">
        <f>SUMIF(Mercado_Receita!$S$2:$S$241,"44562A4AzulNão se aplicaNão se aplicaNão se aplicaNão se aplicaFora ponta",Mercado_Receita!$J$2:$J$241)+SUMIF(Mercado_Receita!$S$2:$S$241,"44562A4AzulNão se aplicaNão se aplicaAPENão se aplicaFora ponta",Mercado_Receita!$J$2:$J$241)</f>
        <v>0</v>
      </c>
      <c r="P3" s="13">
        <f>SUMIF(Mercado_Receita!$S$2:$S$241,"44593A4AzulNão se aplicaNão se aplicaNão se aplicaNão se aplicaFora ponta",Mercado_Receita!$J$2:$J$241)+SUMIF(Mercado_Receita!$S$2:$S$241,"44593A4AzulNão se aplicaNão se aplicaAPENão se aplicaFora ponta",Mercado_Receita!$J$2:$J$241)</f>
        <v>0</v>
      </c>
      <c r="Q3" s="13">
        <f>SUMIF(Mercado_Receita!$S$2:$S$241,"44621A4AzulNão se aplicaNão se aplicaNão se aplicaNão se aplicaFora ponta",Mercado_Receita!$J$2:$J$241)+SUMIF(Mercado_Receita!$S$2:$S$241,"44621A4AzulNão se aplicaNão se aplicaAPENão se aplicaFora ponta",Mercado_Receita!$J$2:$J$241)</f>
        <v>0</v>
      </c>
      <c r="R3" s="13">
        <f>SUMIF(Mercado_Receita!$S$2:$S$241,"44652A4AzulNão se aplicaNão se aplicaNão se aplicaNão se aplicaFora ponta",Mercado_Receita!$J$2:$J$241)+SUMIF(Mercado_Receita!$S$2:$S$241,"44652A4AzulNão se aplicaNão se aplicaAPENão se aplicaFora ponta",Mercado_Receita!$J$2:$J$241)</f>
        <v>0</v>
      </c>
      <c r="S3" s="13">
        <f>SUMIF(Mercado_Receita!$S$2:$S$241,"44682A4AzulNão se aplicaNão se aplicaNão se aplicaNão se aplicaFora ponta",Mercado_Receita!$J$2:$J$241)+SUMIF(Mercado_Receita!$S$2:$S$241,"44682A4AzulNão se aplicaNão se aplicaAPENão se aplicaFora ponta",Mercado_Receita!$J$2:$J$241)</f>
        <v>0</v>
      </c>
      <c r="T3" s="13">
        <f>SUMIF(Mercado_Receita!$S$2:$S$241,"44713A4AzulNão se aplicaNão se aplicaNão se aplicaNão se aplicaFora ponta",Mercado_Receita!$J$2:$J$241)+SUMIF(Mercado_Receita!$S$2:$S$241,"44713A4AzulNão se aplicaNão se aplicaAPENão se aplicaFora ponta",Mercado_Receita!$J$2:$J$241)</f>
        <v>0</v>
      </c>
      <c r="U3" s="13">
        <f t="shared" si="0"/>
        <v>0</v>
      </c>
      <c r="V3" s="13"/>
      <c r="W3" s="13"/>
    </row>
    <row r="4" spans="1:30" ht="11.25" customHeight="1" x14ac:dyDescent="0.25">
      <c r="A4" s="88"/>
      <c r="B4" s="88"/>
      <c r="C4" s="88"/>
      <c r="D4" s="88"/>
      <c r="E4" s="88"/>
      <c r="F4" s="88"/>
      <c r="G4" s="13" t="s">
        <v>70</v>
      </c>
      <c r="H4" s="13" t="s">
        <v>66</v>
      </c>
      <c r="I4" s="13">
        <f>SUMIF(Mercado_Receita!$S$2:$S$241,"44378A4AzulNão se aplicaNão se aplicaNão se aplicaNão se aplicaPonta",Mercado_Receita!$L$2:$L$241)+SUMIF(Mercado_Receita!$S$2:$S$241,"44378A4AzulNão se aplicaNão se aplicaNão se aplicaNão se aplicaFora ponta",Mercado_Receita!$L$2:$L$241)+SUMIF(Mercado_Receita!$S$2:$S$241,"44378A4AzulNão se aplicaNão se aplicaNão se aplicaNão se aplicaIntermediário",Mercado_Receita!$L$2:$L$241)+SUMIF(Mercado_Receita!$S$2:$S$241,"44378A4AzulNão se aplicaNão se aplicaNão se aplicaNão se aplicaNão se aplica",Mercado_Receita!$L$2:$L$241)</f>
        <v>0</v>
      </c>
      <c r="J4" s="13">
        <f>SUMIF(Mercado_Receita!$S$2:$S$241,"44409A4AzulNão se aplicaNão se aplicaNão se aplicaNão se aplicaPonta",Mercado_Receita!$L$2:$L$241)+SUMIF(Mercado_Receita!$S$2:$S$241,"44409A4AzulNão se aplicaNão se aplicaNão se aplicaNão se aplicaFora ponta",Mercado_Receita!$L$2:$L$241)+SUMIF(Mercado_Receita!$S$2:$S$241,"44409A4AzulNão se aplicaNão se aplicaNão se aplicaNão se aplicaIntermediário",Mercado_Receita!$L$2:$L$241)+SUMIF(Mercado_Receita!$S$2:$S$241,"44409A4AzulNão se aplicaNão se aplicaNão se aplicaNão se aplicaNão se aplica",Mercado_Receita!$L$2:$L$241)</f>
        <v>0</v>
      </c>
      <c r="K4" s="13">
        <f>SUMIF(Mercado_Receita!$S$2:$S$241,"44440A4AzulNão se aplicaNão se aplicaNão se aplicaNão se aplicaPonta",Mercado_Receita!$L$2:$L$241)+SUMIF(Mercado_Receita!$S$2:$S$241,"44440A4AzulNão se aplicaNão se aplicaNão se aplicaNão se aplicaFora ponta",Mercado_Receita!$L$2:$L$241)+SUMIF(Mercado_Receita!$S$2:$S$241,"44440A4AzulNão se aplicaNão se aplicaNão se aplicaNão se aplicaIntermediário",Mercado_Receita!$L$2:$L$241)+SUMIF(Mercado_Receita!$S$2:$S$241,"44440A4AzulNão se aplicaNão se aplicaNão se aplicaNão se aplicaNão se aplica",Mercado_Receita!$L$2:$L$241)</f>
        <v>0</v>
      </c>
      <c r="L4" s="13">
        <f>SUMIF(Mercado_Receita!$S$2:$S$241,"44470A4AzulNão se aplicaNão se aplicaNão se aplicaNão se aplicaPonta",Mercado_Receita!$L$2:$L$241)+SUMIF(Mercado_Receita!$S$2:$S$241,"44470A4AzulNão se aplicaNão se aplicaNão se aplicaNão se aplicaFora ponta",Mercado_Receita!$L$2:$L$241)+SUMIF(Mercado_Receita!$S$2:$S$241,"44470A4AzulNão se aplicaNão se aplicaNão se aplicaNão se aplicaIntermediário",Mercado_Receita!$L$2:$L$241)+SUMIF(Mercado_Receita!$S$2:$S$241,"44470A4AzulNão se aplicaNão se aplicaNão se aplicaNão se aplicaNão se aplica",Mercado_Receita!$L$2:$L$241)</f>
        <v>0</v>
      </c>
      <c r="M4" s="13">
        <f>SUMIF(Mercado_Receita!$S$2:$S$241,"44501A4AzulNão se aplicaNão se aplicaNão se aplicaNão se aplicaPonta",Mercado_Receita!$L$2:$L$241)+SUMIF(Mercado_Receita!$S$2:$S$241,"44501A4AzulNão se aplicaNão se aplicaNão se aplicaNão se aplicaFora ponta",Mercado_Receita!$L$2:$L$241)+SUMIF(Mercado_Receita!$S$2:$S$241,"44501A4AzulNão se aplicaNão se aplicaNão se aplicaNão se aplicaIntermediário",Mercado_Receita!$L$2:$L$241)+SUMIF(Mercado_Receita!$S$2:$S$241,"44501A4AzulNão se aplicaNão se aplicaNão se aplicaNão se aplicaNão se aplica",Mercado_Receita!$L$2:$L$241)</f>
        <v>0</v>
      </c>
      <c r="N4" s="13">
        <f>SUMIF(Mercado_Receita!$S$2:$S$241,"44531A4AzulNão se aplicaNão se aplicaNão se aplicaNão se aplicaPonta",Mercado_Receita!$L$2:$L$241)+SUMIF(Mercado_Receita!$S$2:$S$241,"44531A4AzulNão se aplicaNão se aplicaNão se aplicaNão se aplicaFora ponta",Mercado_Receita!$L$2:$L$241)+SUMIF(Mercado_Receita!$S$2:$S$241,"44531A4AzulNão se aplicaNão se aplicaNão se aplicaNão se aplicaIntermediário",Mercado_Receita!$L$2:$L$241)+SUMIF(Mercado_Receita!$S$2:$S$241,"44531A4AzulNão se aplicaNão se aplicaNão se aplicaNão se aplicaNão se aplica",Mercado_Receita!$L$2:$L$241)</f>
        <v>0</v>
      </c>
      <c r="O4" s="13">
        <f>SUMIF(Mercado_Receita!$S$2:$S$241,"44562A4AzulNão se aplicaNão se aplicaNão se aplicaNão se aplicaPonta",Mercado_Receita!$L$2:$L$241)+SUMIF(Mercado_Receita!$S$2:$S$241,"44562A4AzulNão se aplicaNão se aplicaNão se aplicaNão se aplicaFora ponta",Mercado_Receita!$L$2:$L$241)+SUMIF(Mercado_Receita!$S$2:$S$241,"44562A4AzulNão se aplicaNão se aplicaNão se aplicaNão se aplicaIntermediário",Mercado_Receita!$L$2:$L$241)+SUMIF(Mercado_Receita!$S$2:$S$241,"44562A4AzulNão se aplicaNão se aplicaNão se aplicaNão se aplicaNão se aplica",Mercado_Receita!$L$2:$L$241)</f>
        <v>0</v>
      </c>
      <c r="P4" s="13">
        <f>SUMIF(Mercado_Receita!$S$2:$S$241,"44593A4AzulNão se aplicaNão se aplicaNão se aplicaNão se aplicaPonta",Mercado_Receita!$L$2:$L$241)+SUMIF(Mercado_Receita!$S$2:$S$241,"44593A4AzulNão se aplicaNão se aplicaNão se aplicaNão se aplicaFora ponta",Mercado_Receita!$L$2:$L$241)+SUMIF(Mercado_Receita!$S$2:$S$241,"44593A4AzulNão se aplicaNão se aplicaNão se aplicaNão se aplicaIntermediário",Mercado_Receita!$L$2:$L$241)+SUMIF(Mercado_Receita!$S$2:$S$241,"44593A4AzulNão se aplicaNão se aplicaNão se aplicaNão se aplicaNão se aplica",Mercado_Receita!$L$2:$L$241)</f>
        <v>0</v>
      </c>
      <c r="Q4" s="13">
        <f>SUMIF(Mercado_Receita!$S$2:$S$241,"44621A4AzulNão se aplicaNão se aplicaNão se aplicaNão se aplicaPonta",Mercado_Receita!$L$2:$L$241)+SUMIF(Mercado_Receita!$S$2:$S$241,"44621A4AzulNão se aplicaNão se aplicaNão se aplicaNão se aplicaFora ponta",Mercado_Receita!$L$2:$L$241)+SUMIF(Mercado_Receita!$S$2:$S$241,"44621A4AzulNão se aplicaNão se aplicaNão se aplicaNão se aplicaIntermediário",Mercado_Receita!$L$2:$L$241)+SUMIF(Mercado_Receita!$S$2:$S$241,"44621A4AzulNão se aplicaNão se aplicaNão se aplicaNão se aplicaNão se aplica",Mercado_Receita!$L$2:$L$241)</f>
        <v>0</v>
      </c>
      <c r="R4" s="13">
        <f>SUMIF(Mercado_Receita!$S$2:$S$241,"44652A4AzulNão se aplicaNão se aplicaNão se aplicaNão se aplicaPonta",Mercado_Receita!$L$2:$L$241)+SUMIF(Mercado_Receita!$S$2:$S$241,"44652A4AzulNão se aplicaNão se aplicaNão se aplicaNão se aplicaFora ponta",Mercado_Receita!$L$2:$L$241)+SUMIF(Mercado_Receita!$S$2:$S$241,"44652A4AzulNão se aplicaNão se aplicaNão se aplicaNão se aplicaIntermediário",Mercado_Receita!$L$2:$L$241)+SUMIF(Mercado_Receita!$S$2:$S$241,"44652A4AzulNão se aplicaNão se aplicaNão se aplicaNão se aplicaNão se aplica",Mercado_Receita!$L$2:$L$241)</f>
        <v>0</v>
      </c>
      <c r="S4" s="13">
        <f>SUMIF(Mercado_Receita!$S$2:$S$241,"44682A4AzulNão se aplicaNão se aplicaNão se aplicaNão se aplicaPonta",Mercado_Receita!$L$2:$L$241)+SUMIF(Mercado_Receita!$S$2:$S$241,"44682A4AzulNão se aplicaNão se aplicaNão se aplicaNão se aplicaFora ponta",Mercado_Receita!$L$2:$L$241)+SUMIF(Mercado_Receita!$S$2:$S$241,"44682A4AzulNão se aplicaNão se aplicaNão se aplicaNão se aplicaIntermediário",Mercado_Receita!$L$2:$L$241)+SUMIF(Mercado_Receita!$S$2:$S$241,"44682A4AzulNão se aplicaNão se aplicaNão se aplicaNão se aplicaNão se aplica",Mercado_Receita!$L$2:$L$241)</f>
        <v>0</v>
      </c>
      <c r="T4" s="13">
        <f>SUMIF(Mercado_Receita!$S$2:$S$241,"44713A4AzulNão se aplicaNão se aplicaNão se aplicaNão se aplicaPonta",Mercado_Receita!$L$2:$L$241)+SUMIF(Mercado_Receita!$S$2:$S$241,"44713A4AzulNão se aplicaNão se aplicaNão se aplicaNão se aplicaFora ponta",Mercado_Receita!$L$2:$L$241)+SUMIF(Mercado_Receita!$S$2:$S$241,"44713A4AzulNão se aplicaNão se aplicaNão se aplicaNão se aplicaIntermediário",Mercado_Receita!$L$2:$L$241)+SUMIF(Mercado_Receita!$S$2:$S$241,"44713A4AzulNão se aplicaNão se aplicaNão se aplicaNão se aplicaNão se aplica",Mercado_Receita!$L$2:$L$241)</f>
        <v>0</v>
      </c>
      <c r="U4" s="13">
        <f t="shared" si="0"/>
        <v>0</v>
      </c>
      <c r="V4" s="13"/>
      <c r="W4" s="13"/>
    </row>
    <row r="5" spans="1:30" ht="11.25" customHeight="1" x14ac:dyDescent="0.25">
      <c r="A5" s="88"/>
      <c r="B5" s="88"/>
      <c r="C5" s="88"/>
      <c r="D5" s="88"/>
      <c r="E5" s="12" t="s">
        <v>75</v>
      </c>
      <c r="F5" s="12" t="s">
        <v>25</v>
      </c>
      <c r="G5" s="13" t="s">
        <v>70</v>
      </c>
      <c r="H5" s="13" t="s">
        <v>66</v>
      </c>
      <c r="I5" s="13">
        <f>SUMIF(Mercado_Receita!$S$2:$S$241,"44378A4AzulNão se aplicaNão se aplicaAPENão se aplicaPonta",Mercado_Receita!$L$2:$L$241)+SUMIF(Mercado_Receita!$S$2:$S$241,"44378A4AzulNão se aplicaNão se aplicaAPENão se aplicaFora ponta",Mercado_Receita!$L$2:$L$241)+SUMIF(Mercado_Receita!$S$2:$S$241,"44378A4AzulNão se aplicaNão se aplicaAPENão se aplicaIntermediário",Mercado_Receita!$L$2:$L$241)+SUMIF(Mercado_Receita!$S$2:$S$241,"44378A4AzulNão se aplicaNão se aplicaAPENão se aplicaNão se aplica",Mercado_Receita!$L$2:$L$241)</f>
        <v>0</v>
      </c>
      <c r="J5" s="13">
        <f>SUMIF(Mercado_Receita!$S$2:$S$241,"44409A4AzulNão se aplicaNão se aplicaAPENão se aplicaPonta",Mercado_Receita!$L$2:$L$241)+SUMIF(Mercado_Receita!$S$2:$S$241,"44409A4AzulNão se aplicaNão se aplicaAPENão se aplicaFora ponta",Mercado_Receita!$L$2:$L$241)+SUMIF(Mercado_Receita!$S$2:$S$241,"44409A4AzulNão se aplicaNão se aplicaAPENão se aplicaIntermediário",Mercado_Receita!$L$2:$L$241)+SUMIF(Mercado_Receita!$S$2:$S$241,"44409A4AzulNão se aplicaNão se aplicaAPENão se aplicaNão se aplica",Mercado_Receita!$L$2:$L$241)</f>
        <v>0</v>
      </c>
      <c r="K5" s="13">
        <f>SUMIF(Mercado_Receita!$S$2:$S$241,"44440A4AzulNão se aplicaNão se aplicaAPENão se aplicaPonta",Mercado_Receita!$L$2:$L$241)+SUMIF(Mercado_Receita!$S$2:$S$241,"44440A4AzulNão se aplicaNão se aplicaAPENão se aplicaFora ponta",Mercado_Receita!$L$2:$L$241)+SUMIF(Mercado_Receita!$S$2:$S$241,"44440A4AzulNão se aplicaNão se aplicaAPENão se aplicaIntermediário",Mercado_Receita!$L$2:$L$241)+SUMIF(Mercado_Receita!$S$2:$S$241,"44440A4AzulNão se aplicaNão se aplicaAPENão se aplicaNão se aplica",Mercado_Receita!$L$2:$L$241)</f>
        <v>0</v>
      </c>
      <c r="L5" s="13">
        <f>SUMIF(Mercado_Receita!$S$2:$S$241,"44470A4AzulNão se aplicaNão se aplicaAPENão se aplicaPonta",Mercado_Receita!$L$2:$L$241)+SUMIF(Mercado_Receita!$S$2:$S$241,"44470A4AzulNão se aplicaNão se aplicaAPENão se aplicaFora ponta",Mercado_Receita!$L$2:$L$241)+SUMIF(Mercado_Receita!$S$2:$S$241,"44470A4AzulNão se aplicaNão se aplicaAPENão se aplicaIntermediário",Mercado_Receita!$L$2:$L$241)+SUMIF(Mercado_Receita!$S$2:$S$241,"44470A4AzulNão se aplicaNão se aplicaAPENão se aplicaNão se aplica",Mercado_Receita!$L$2:$L$241)</f>
        <v>0</v>
      </c>
      <c r="M5" s="13">
        <f>SUMIF(Mercado_Receita!$S$2:$S$241,"44501A4AzulNão se aplicaNão se aplicaAPENão se aplicaPonta",Mercado_Receita!$L$2:$L$241)+SUMIF(Mercado_Receita!$S$2:$S$241,"44501A4AzulNão se aplicaNão se aplicaAPENão se aplicaFora ponta",Mercado_Receita!$L$2:$L$241)+SUMIF(Mercado_Receita!$S$2:$S$241,"44501A4AzulNão se aplicaNão se aplicaAPENão se aplicaIntermediário",Mercado_Receita!$L$2:$L$241)+SUMIF(Mercado_Receita!$S$2:$S$241,"44501A4AzulNão se aplicaNão se aplicaAPENão se aplicaNão se aplica",Mercado_Receita!$L$2:$L$241)</f>
        <v>0</v>
      </c>
      <c r="N5" s="13">
        <f>SUMIF(Mercado_Receita!$S$2:$S$241,"44531A4AzulNão se aplicaNão se aplicaAPENão se aplicaPonta",Mercado_Receita!$L$2:$L$241)+SUMIF(Mercado_Receita!$S$2:$S$241,"44531A4AzulNão se aplicaNão se aplicaAPENão se aplicaFora ponta",Mercado_Receita!$L$2:$L$241)+SUMIF(Mercado_Receita!$S$2:$S$241,"44531A4AzulNão se aplicaNão se aplicaAPENão se aplicaIntermediário",Mercado_Receita!$L$2:$L$241)+SUMIF(Mercado_Receita!$S$2:$S$241,"44531A4AzulNão se aplicaNão se aplicaAPENão se aplicaNão se aplica",Mercado_Receita!$L$2:$L$241)</f>
        <v>0</v>
      </c>
      <c r="O5" s="13">
        <f>SUMIF(Mercado_Receita!$S$2:$S$241,"44562A4AzulNão se aplicaNão se aplicaAPENão se aplicaPonta",Mercado_Receita!$L$2:$L$241)+SUMIF(Mercado_Receita!$S$2:$S$241,"44562A4AzulNão se aplicaNão se aplicaAPENão se aplicaFora ponta",Mercado_Receita!$L$2:$L$241)+SUMIF(Mercado_Receita!$S$2:$S$241,"44562A4AzulNão se aplicaNão se aplicaAPENão se aplicaIntermediário",Mercado_Receita!$L$2:$L$241)+SUMIF(Mercado_Receita!$S$2:$S$241,"44562A4AzulNão se aplicaNão se aplicaAPENão se aplicaNão se aplica",Mercado_Receita!$L$2:$L$241)</f>
        <v>0</v>
      </c>
      <c r="P5" s="13">
        <f>SUMIF(Mercado_Receita!$S$2:$S$241,"44593A4AzulNão se aplicaNão se aplicaAPENão se aplicaPonta",Mercado_Receita!$L$2:$L$241)+SUMIF(Mercado_Receita!$S$2:$S$241,"44593A4AzulNão se aplicaNão se aplicaAPENão se aplicaFora ponta",Mercado_Receita!$L$2:$L$241)+SUMIF(Mercado_Receita!$S$2:$S$241,"44593A4AzulNão se aplicaNão se aplicaAPENão se aplicaIntermediário",Mercado_Receita!$L$2:$L$241)+SUMIF(Mercado_Receita!$S$2:$S$241,"44593A4AzulNão se aplicaNão se aplicaAPENão se aplicaNão se aplica",Mercado_Receita!$L$2:$L$241)</f>
        <v>0</v>
      </c>
      <c r="Q5" s="13">
        <f>SUMIF(Mercado_Receita!$S$2:$S$241,"44621A4AzulNão se aplicaNão se aplicaAPENão se aplicaPonta",Mercado_Receita!$L$2:$L$241)+SUMIF(Mercado_Receita!$S$2:$S$241,"44621A4AzulNão se aplicaNão se aplicaAPENão se aplicaFora ponta",Mercado_Receita!$L$2:$L$241)+SUMIF(Mercado_Receita!$S$2:$S$241,"44621A4AzulNão se aplicaNão se aplicaAPENão se aplicaIntermediário",Mercado_Receita!$L$2:$L$241)+SUMIF(Mercado_Receita!$S$2:$S$241,"44621A4AzulNão se aplicaNão se aplicaAPENão se aplicaNão se aplica",Mercado_Receita!$L$2:$L$241)</f>
        <v>0</v>
      </c>
      <c r="R5" s="13">
        <f>SUMIF(Mercado_Receita!$S$2:$S$241,"44652A4AzulNão se aplicaNão se aplicaAPENão se aplicaPonta",Mercado_Receita!$L$2:$L$241)+SUMIF(Mercado_Receita!$S$2:$S$241,"44652A4AzulNão se aplicaNão se aplicaAPENão se aplicaFora ponta",Mercado_Receita!$L$2:$L$241)+SUMIF(Mercado_Receita!$S$2:$S$241,"44652A4AzulNão se aplicaNão se aplicaAPENão se aplicaIntermediário",Mercado_Receita!$L$2:$L$241)+SUMIF(Mercado_Receita!$S$2:$S$241,"44652A4AzulNão se aplicaNão se aplicaAPENão se aplicaNão se aplica",Mercado_Receita!$L$2:$L$241)</f>
        <v>0</v>
      </c>
      <c r="S5" s="13">
        <f>SUMIF(Mercado_Receita!$S$2:$S$241,"44682A4AzulNão se aplicaNão se aplicaAPENão se aplicaPonta",Mercado_Receita!$L$2:$L$241)+SUMIF(Mercado_Receita!$S$2:$S$241,"44682A4AzulNão se aplicaNão se aplicaAPENão se aplicaFora ponta",Mercado_Receita!$L$2:$L$241)+SUMIF(Mercado_Receita!$S$2:$S$241,"44682A4AzulNão se aplicaNão se aplicaAPENão se aplicaIntermediário",Mercado_Receita!$L$2:$L$241)+SUMIF(Mercado_Receita!$S$2:$S$241,"44682A4AzulNão se aplicaNão se aplicaAPENão se aplicaNão se aplica",Mercado_Receita!$L$2:$L$241)</f>
        <v>0</v>
      </c>
      <c r="T5" s="13">
        <f>SUMIF(Mercado_Receita!$S$2:$S$241,"44713A4AzulNão se aplicaNão se aplicaAPENão se aplicaPonta",Mercado_Receita!$L$2:$L$241)+SUMIF(Mercado_Receita!$S$2:$S$241,"44713A4AzulNão se aplicaNão se aplicaAPENão se aplicaFora ponta",Mercado_Receita!$L$2:$L$241)+SUMIF(Mercado_Receita!$S$2:$S$241,"44713A4AzulNão se aplicaNão se aplicaAPENão se aplicaIntermediário",Mercado_Receita!$L$2:$L$241)+SUMIF(Mercado_Receita!$S$2:$S$241,"44713A4AzulNão se aplicaNão se aplicaAPENão se aplicaNão se aplica",Mercado_Receita!$L$2:$L$241)</f>
        <v>0</v>
      </c>
      <c r="U5" s="13">
        <f t="shared" si="0"/>
        <v>0</v>
      </c>
      <c r="V5" s="13"/>
      <c r="W5" s="13"/>
    </row>
    <row r="6" spans="1:30" ht="11.25" customHeight="1" x14ac:dyDescent="0.25">
      <c r="A6" s="88"/>
      <c r="B6" s="12" t="s">
        <v>76</v>
      </c>
      <c r="C6" s="12" t="s">
        <v>25</v>
      </c>
      <c r="D6" s="12" t="s">
        <v>25</v>
      </c>
      <c r="E6" s="12" t="s">
        <v>25</v>
      </c>
      <c r="F6" s="12" t="s">
        <v>25</v>
      </c>
      <c r="G6" s="13" t="s">
        <v>9</v>
      </c>
      <c r="H6" s="13" t="s">
        <v>72</v>
      </c>
      <c r="I6" s="13">
        <f>SUMIF(Mercado_Receita!$S$2:$S$241,"44378A4GeraçãoNão se aplicaNão se aplicaNão se aplicaNão se aplicaNão se aplica",Mercado_Receita!$J$2:$J$241)+SUMIF(Mercado_Receita!$S$2:$S$241,"44378A4GeraçãoNão se aplicaNão se aplicaAPENão se aplicaNão se aplica",Mercado_Receita!$J$2:$J$241)</f>
        <v>0</v>
      </c>
      <c r="J6" s="13">
        <f>SUMIF(Mercado_Receita!$S$2:$S$241,"44409A4GeraçãoNão se aplicaNão se aplicaNão se aplicaNão se aplicaNão se aplica",Mercado_Receita!$J$2:$J$241)+SUMIF(Mercado_Receita!$S$2:$S$241,"44409A4GeraçãoNão se aplicaNão se aplicaAPENão se aplicaNão se aplica",Mercado_Receita!$J$2:$J$241)</f>
        <v>0</v>
      </c>
      <c r="K6" s="13">
        <f>SUMIF(Mercado_Receita!$S$2:$S$241,"44440A4GeraçãoNão se aplicaNão se aplicaNão se aplicaNão se aplicaNão se aplica",Mercado_Receita!$J$2:$J$241)+SUMIF(Mercado_Receita!$S$2:$S$241,"44440A4GeraçãoNão se aplicaNão se aplicaAPENão se aplicaNão se aplica",Mercado_Receita!$J$2:$J$241)</f>
        <v>0</v>
      </c>
      <c r="L6" s="13">
        <f>SUMIF(Mercado_Receita!$S$2:$S$241,"44470A4GeraçãoNão se aplicaNão se aplicaNão se aplicaNão se aplicaNão se aplica",Mercado_Receita!$J$2:$J$241)+SUMIF(Mercado_Receita!$S$2:$S$241,"44470A4GeraçãoNão se aplicaNão se aplicaAPENão se aplicaNão se aplica",Mercado_Receita!$J$2:$J$241)</f>
        <v>0</v>
      </c>
      <c r="M6" s="13">
        <f>SUMIF(Mercado_Receita!$S$2:$S$241,"44501A4GeraçãoNão se aplicaNão se aplicaNão se aplicaNão se aplicaNão se aplica",Mercado_Receita!$J$2:$J$241)+SUMIF(Mercado_Receita!$S$2:$S$241,"44501A4GeraçãoNão se aplicaNão se aplicaAPENão se aplicaNão se aplica",Mercado_Receita!$J$2:$J$241)</f>
        <v>0</v>
      </c>
      <c r="N6" s="13">
        <f>SUMIF(Mercado_Receita!$S$2:$S$241,"44531A4GeraçãoNão se aplicaNão se aplicaNão se aplicaNão se aplicaNão se aplica",Mercado_Receita!$J$2:$J$241)+SUMIF(Mercado_Receita!$S$2:$S$241,"44531A4GeraçãoNão se aplicaNão se aplicaAPENão se aplicaNão se aplica",Mercado_Receita!$J$2:$J$241)</f>
        <v>0</v>
      </c>
      <c r="O6" s="13">
        <f>SUMIF(Mercado_Receita!$S$2:$S$241,"44562A4GeraçãoNão se aplicaNão se aplicaNão se aplicaNão se aplicaNão se aplica",Mercado_Receita!$J$2:$J$241)+SUMIF(Mercado_Receita!$S$2:$S$241,"44562A4GeraçãoNão se aplicaNão se aplicaAPENão se aplicaNão se aplica",Mercado_Receita!$J$2:$J$241)</f>
        <v>0</v>
      </c>
      <c r="P6" s="13">
        <f>SUMIF(Mercado_Receita!$S$2:$S$241,"44593A4GeraçãoNão se aplicaNão se aplicaNão se aplicaNão se aplicaNão se aplica",Mercado_Receita!$J$2:$J$241)+SUMIF(Mercado_Receita!$S$2:$S$241,"44593A4GeraçãoNão se aplicaNão se aplicaAPENão se aplicaNão se aplica",Mercado_Receita!$J$2:$J$241)</f>
        <v>0</v>
      </c>
      <c r="Q6" s="13">
        <f>SUMIF(Mercado_Receita!$S$2:$S$241,"44621A4GeraçãoNão se aplicaNão se aplicaNão se aplicaNão se aplicaNão se aplica",Mercado_Receita!$J$2:$J$241)+SUMIF(Mercado_Receita!$S$2:$S$241,"44621A4GeraçãoNão se aplicaNão se aplicaAPENão se aplicaNão se aplica",Mercado_Receita!$J$2:$J$241)</f>
        <v>0</v>
      </c>
      <c r="R6" s="13">
        <f>SUMIF(Mercado_Receita!$S$2:$S$241,"44652A4GeraçãoNão se aplicaNão se aplicaNão se aplicaNão se aplicaNão se aplica",Mercado_Receita!$J$2:$J$241)+SUMIF(Mercado_Receita!$S$2:$S$241,"44652A4GeraçãoNão se aplicaNão se aplicaAPENão se aplicaNão se aplica",Mercado_Receita!$J$2:$J$241)</f>
        <v>0</v>
      </c>
      <c r="S6" s="13">
        <f>SUMIF(Mercado_Receita!$S$2:$S$241,"44682A4GeraçãoNão se aplicaNão se aplicaNão se aplicaNão se aplicaNão se aplica",Mercado_Receita!$J$2:$J$241)+SUMIF(Mercado_Receita!$S$2:$S$241,"44682A4GeraçãoNão se aplicaNão se aplicaAPENão se aplicaNão se aplica",Mercado_Receita!$J$2:$J$241)</f>
        <v>0</v>
      </c>
      <c r="T6" s="13">
        <f>SUMIF(Mercado_Receita!$S$2:$S$241,"44713A4GeraçãoNão se aplicaNão se aplicaNão se aplicaNão se aplicaNão se aplica",Mercado_Receita!$J$2:$J$241)+SUMIF(Mercado_Receita!$S$2:$S$241,"44713A4GeraçãoNão se aplicaNão se aplicaAPENão se aplicaNão se aplica",Mercado_Receita!$J$2:$J$241)</f>
        <v>0</v>
      </c>
      <c r="U6" s="13">
        <f t="shared" si="0"/>
        <v>0</v>
      </c>
      <c r="V6" s="13"/>
      <c r="W6" s="13"/>
    </row>
    <row r="7" spans="1:30" ht="11.25" customHeight="1" x14ac:dyDescent="0.25">
      <c r="A7" s="88"/>
      <c r="B7" s="87" t="s">
        <v>40</v>
      </c>
      <c r="C7" s="87" t="s">
        <v>25</v>
      </c>
      <c r="D7" s="87" t="s">
        <v>25</v>
      </c>
      <c r="E7" s="87" t="s">
        <v>25</v>
      </c>
      <c r="F7" s="87" t="s">
        <v>25</v>
      </c>
      <c r="G7" s="13" t="s">
        <v>9</v>
      </c>
      <c r="H7" s="13" t="s">
        <v>72</v>
      </c>
      <c r="I7" s="13">
        <f>SUMIF(Mercado_Receita!$S$2:$S$241,"44378A4VerdeNão se aplicaNão se aplicaNão se aplicaNão se aplicaNão se aplica",Mercado_Receita!$J$2:$J$241)+SUMIF(Mercado_Receita!$S$2:$S$241,"44378A4VerdeNão se aplicaNão se aplicaAPENão se aplicaNão se aplica",Mercado_Receita!$J$2:$J$241)</f>
        <v>292</v>
      </c>
      <c r="J7" s="13">
        <f>SUMIF(Mercado_Receita!$S$2:$S$241,"44409A4VerdeNão se aplicaNão se aplicaNão se aplicaNão se aplicaNão se aplica",Mercado_Receita!$J$2:$J$241)+SUMIF(Mercado_Receita!$S$2:$S$241,"44409A4VerdeNão se aplicaNão se aplicaAPENão se aplicaNão se aplica",Mercado_Receita!$J$2:$J$241)</f>
        <v>297</v>
      </c>
      <c r="K7" s="13">
        <f>SUMIF(Mercado_Receita!$S$2:$S$241,"44440A4VerdeNão se aplicaNão se aplicaNão se aplicaNão se aplicaNão se aplica",Mercado_Receita!$J$2:$J$241)+SUMIF(Mercado_Receita!$S$2:$S$241,"44440A4VerdeNão se aplicaNão se aplicaAPENão se aplicaNão se aplica",Mercado_Receita!$J$2:$J$241)</f>
        <v>381</v>
      </c>
      <c r="L7" s="13">
        <f>SUMIF(Mercado_Receita!$S$2:$S$241,"44470A4VerdeNão se aplicaNão se aplicaNão se aplicaNão se aplicaNão se aplica",Mercado_Receita!$J$2:$J$241)+SUMIF(Mercado_Receita!$S$2:$S$241,"44470A4VerdeNão se aplicaNão se aplicaAPENão se aplicaNão se aplica",Mercado_Receita!$J$2:$J$241)</f>
        <v>381</v>
      </c>
      <c r="M7" s="13">
        <f>SUMIF(Mercado_Receita!$S$2:$S$241,"44501A4VerdeNão se aplicaNão se aplicaNão se aplicaNão se aplicaNão se aplica",Mercado_Receita!$J$2:$J$241)+SUMIF(Mercado_Receita!$S$2:$S$241,"44501A4VerdeNão se aplicaNão se aplicaAPENão se aplicaNão se aplica",Mercado_Receita!$J$2:$J$241)</f>
        <v>413</v>
      </c>
      <c r="N7" s="13">
        <f>SUMIF(Mercado_Receita!$S$2:$S$241,"44531A4VerdeNão se aplicaNão se aplicaNão se aplicaNão se aplicaNão se aplica",Mercado_Receita!$J$2:$J$241)+SUMIF(Mercado_Receita!$S$2:$S$241,"44531A4VerdeNão se aplicaNão se aplicaAPENão se aplicaNão se aplica",Mercado_Receita!$J$2:$J$241)</f>
        <v>556</v>
      </c>
      <c r="O7" s="13">
        <f>SUMIF(Mercado_Receita!$S$2:$S$241,"44562A4VerdeNão se aplicaNão se aplicaNão se aplicaNão se aplicaNão se aplica",Mercado_Receita!$J$2:$J$241)+SUMIF(Mercado_Receita!$S$2:$S$241,"44562A4VerdeNão se aplicaNão se aplicaAPENão se aplicaNão se aplica",Mercado_Receita!$J$2:$J$241)</f>
        <v>443</v>
      </c>
      <c r="P7" s="13">
        <f>SUMIF(Mercado_Receita!$S$2:$S$241,"44593A4VerdeNão se aplicaNão se aplicaNão se aplicaNão se aplicaNão se aplica",Mercado_Receita!$J$2:$J$241)+SUMIF(Mercado_Receita!$S$2:$S$241,"44593A4VerdeNão se aplicaNão se aplicaAPENão se aplicaNão se aplica",Mercado_Receita!$J$2:$J$241)</f>
        <v>780</v>
      </c>
      <c r="Q7" s="13">
        <f>SUMIF(Mercado_Receita!$S$2:$S$241,"44621A4VerdeNão se aplicaNão se aplicaNão se aplicaNão se aplicaNão se aplica",Mercado_Receita!$J$2:$J$241)+SUMIF(Mercado_Receita!$S$2:$S$241,"44621A4VerdeNão se aplicaNão se aplicaAPENão se aplicaNão se aplica",Mercado_Receita!$J$2:$J$241)</f>
        <v>692</v>
      </c>
      <c r="R7" s="13">
        <f>SUMIF(Mercado_Receita!$S$2:$S$241,"44652A4VerdeNão se aplicaNão se aplicaNão se aplicaNão se aplicaNão se aplica",Mercado_Receita!$J$2:$J$241)+SUMIF(Mercado_Receita!$S$2:$S$241,"44652A4VerdeNão se aplicaNão se aplicaAPENão se aplicaNão se aplica",Mercado_Receita!$J$2:$J$241)</f>
        <v>717</v>
      </c>
      <c r="S7" s="13">
        <f>SUMIF(Mercado_Receita!$S$2:$S$241,"44682A4VerdeNão se aplicaNão se aplicaNão se aplicaNão se aplicaNão se aplica",Mercado_Receita!$J$2:$J$241)+SUMIF(Mercado_Receita!$S$2:$S$241,"44682A4VerdeNão se aplicaNão se aplicaAPENão se aplicaNão se aplica",Mercado_Receita!$J$2:$J$241)</f>
        <v>711</v>
      </c>
      <c r="T7" s="13">
        <f>SUMIF(Mercado_Receita!$S$2:$S$241,"44713A4VerdeNão se aplicaNão se aplicaNão se aplicaNão se aplicaNão se aplica",Mercado_Receita!$J$2:$J$241)+SUMIF(Mercado_Receita!$S$2:$S$241,"44713A4VerdeNão se aplicaNão se aplicaAPENão se aplicaNão se aplica",Mercado_Receita!$J$2:$J$241)</f>
        <v>714</v>
      </c>
      <c r="U7" s="13">
        <f t="shared" si="0"/>
        <v>6377</v>
      </c>
      <c r="V7" s="13"/>
      <c r="W7" s="13"/>
    </row>
    <row r="8" spans="1:30" ht="11.25" customHeight="1" x14ac:dyDescent="0.25">
      <c r="A8" s="88"/>
      <c r="B8" s="88"/>
      <c r="C8" s="88"/>
      <c r="D8" s="88"/>
      <c r="E8" s="88"/>
      <c r="F8" s="88"/>
      <c r="G8" s="13" t="s">
        <v>67</v>
      </c>
      <c r="H8" s="13" t="s">
        <v>66</v>
      </c>
      <c r="I8" s="13">
        <f>SUMIF(Mercado_Receita!$S$2:$S$241,"44378A4VerdeNão se aplicaNão se aplicaNão se aplicaNão se aplicaPonta",Mercado_Receita!$L$2:$L$241)</f>
        <v>1.4350000000000001</v>
      </c>
      <c r="J8" s="13">
        <f>SUMIF(Mercado_Receita!$S$2:$S$241,"44409A4VerdeNão se aplicaNão se aplicaNão se aplicaNão se aplicaPonta",Mercado_Receita!$L$2:$L$241)</f>
        <v>2.7229999999999999</v>
      </c>
      <c r="K8" s="13">
        <f>SUMIF(Mercado_Receita!$S$2:$S$241,"44440A4VerdeNão se aplicaNão se aplicaNão se aplicaNão se aplicaPonta",Mercado_Receita!$L$2:$L$241)</f>
        <v>4.6050000000000004</v>
      </c>
      <c r="L8" s="13">
        <f>SUMIF(Mercado_Receita!$S$2:$S$241,"44470A4VerdeNão se aplicaNão se aplicaNão se aplicaNão se aplicaPonta",Mercado_Receita!$L$2:$L$241)</f>
        <v>1.73</v>
      </c>
      <c r="M8" s="13">
        <f>SUMIF(Mercado_Receita!$S$2:$S$241,"44501A4VerdeNão se aplicaNão se aplicaNão se aplicaNão se aplicaPonta",Mercado_Receita!$L$2:$L$241)</f>
        <v>4.6050000000000004</v>
      </c>
      <c r="N8" s="13">
        <f>SUMIF(Mercado_Receita!$S$2:$S$241,"44531A4VerdeNão se aplicaNão se aplicaNão se aplicaNão se aplicaPonta",Mercado_Receita!$L$2:$L$241)</f>
        <v>5.9510000000000005</v>
      </c>
      <c r="O8" s="13">
        <f>SUMIF(Mercado_Receita!$S$2:$S$241,"44562A4VerdeNão se aplicaNão se aplicaNão se aplicaNão se aplicaPonta",Mercado_Receita!$L$2:$L$241)</f>
        <v>3.8929999999999998</v>
      </c>
      <c r="P8" s="13">
        <f>SUMIF(Mercado_Receita!$S$2:$S$241,"44593A4VerdeNão se aplicaNão se aplicaNão se aplicaNão se aplicaPonta",Mercado_Receita!$L$2:$L$241)</f>
        <v>5.0969999999999995</v>
      </c>
      <c r="Q8" s="13">
        <f>SUMIF(Mercado_Receita!$S$2:$S$241,"44621A4VerdeNão se aplicaNão se aplicaNão se aplicaNão se aplicaPonta",Mercado_Receita!$L$2:$L$241)</f>
        <v>13.59</v>
      </c>
      <c r="R8" s="13">
        <f>SUMIF(Mercado_Receita!$S$2:$S$241,"44652A4VerdeNão se aplicaNão se aplicaNão se aplicaNão se aplicaPonta",Mercado_Receita!$L$2:$L$241)</f>
        <v>6.907</v>
      </c>
      <c r="S8" s="13">
        <f>SUMIF(Mercado_Receita!$S$2:$S$241,"44682A4VerdeNão se aplicaNão se aplicaNão se aplicaNão se aplicaPonta",Mercado_Receita!$L$2:$L$241)</f>
        <v>4.9740000000000002</v>
      </c>
      <c r="T8" s="13">
        <f>SUMIF(Mercado_Receita!$S$2:$S$241,"44713A4VerdeNão se aplicaNão se aplicaNão se aplicaNão se aplicaPonta",Mercado_Receita!$L$2:$L$241)</f>
        <v>5.3339999999999996</v>
      </c>
      <c r="U8" s="13">
        <f t="shared" si="0"/>
        <v>60.844000000000008</v>
      </c>
      <c r="V8" s="13"/>
      <c r="W8" s="13"/>
    </row>
    <row r="9" spans="1:30" ht="11.25" customHeight="1" x14ac:dyDescent="0.25">
      <c r="A9" s="88"/>
      <c r="B9" s="88"/>
      <c r="C9" s="88"/>
      <c r="D9" s="88"/>
      <c r="E9" s="88"/>
      <c r="F9" s="88"/>
      <c r="G9" s="13" t="s">
        <v>68</v>
      </c>
      <c r="H9" s="13" t="s">
        <v>66</v>
      </c>
      <c r="I9" s="13">
        <f>SUMIF(Mercado_Receita!$S$2:$S$241,"44378A4VerdeNão se aplicaNão se aplicaNão se aplicaNão se aplicaFora ponta",Mercado_Receita!$L$2:$L$241)</f>
        <v>49.872999999999998</v>
      </c>
      <c r="J9" s="13">
        <f>SUMIF(Mercado_Receita!$S$2:$S$241,"44409A4VerdeNão se aplicaNão se aplicaNão se aplicaNão se aplicaFora ponta",Mercado_Receita!$L$2:$L$241)</f>
        <v>59.265999999999998</v>
      </c>
      <c r="K9" s="13">
        <f>SUMIF(Mercado_Receita!$S$2:$S$241,"44440A4VerdeNão se aplicaNão se aplicaNão se aplicaNão se aplicaFora ponta",Mercado_Receita!$L$2:$L$241)</f>
        <v>83.984999999999999</v>
      </c>
      <c r="L9" s="13">
        <f>SUMIF(Mercado_Receita!$S$2:$S$241,"44470A4VerdeNão se aplicaNão se aplicaNão se aplicaNão se aplicaFora ponta",Mercado_Receita!$L$2:$L$241)</f>
        <v>26.998000000000001</v>
      </c>
      <c r="M9" s="13">
        <f>SUMIF(Mercado_Receita!$S$2:$S$241,"44501A4VerdeNão se aplicaNão se aplicaNão se aplicaNão se aplicaFora ponta",Mercado_Receita!$L$2:$L$241)</f>
        <v>75.522999999999996</v>
      </c>
      <c r="N9" s="13">
        <f>SUMIF(Mercado_Receita!$S$2:$S$241,"44531A4VerdeNão se aplicaNão se aplicaNão se aplicaNão se aplicaFora ponta",Mercado_Receita!$L$2:$L$241)</f>
        <v>67.004999999999995</v>
      </c>
      <c r="O9" s="13">
        <f>SUMIF(Mercado_Receita!$S$2:$S$241,"44562A4VerdeNão se aplicaNão se aplicaNão se aplicaNão se aplicaFora ponta",Mercado_Receita!$L$2:$L$241)</f>
        <v>92.612000000000009</v>
      </c>
      <c r="P9" s="13">
        <f>SUMIF(Mercado_Receita!$S$2:$S$241,"44593A4VerdeNão se aplicaNão se aplicaNão se aplicaNão se aplicaFora ponta",Mercado_Receita!$L$2:$L$241)</f>
        <v>140.953</v>
      </c>
      <c r="Q9" s="13">
        <f>SUMIF(Mercado_Receita!$S$2:$S$241,"44621A4VerdeNão se aplicaNão se aplicaNão se aplicaNão se aplicaFora ponta",Mercado_Receita!$L$2:$L$241)</f>
        <v>194.63400000000001</v>
      </c>
      <c r="R9" s="13">
        <f>SUMIF(Mercado_Receita!$S$2:$S$241,"44652A4VerdeNão se aplicaNão se aplicaNão se aplicaNão se aplicaFora ponta",Mercado_Receita!$L$2:$L$241)</f>
        <v>157.75300000000001</v>
      </c>
      <c r="S9" s="13">
        <f>SUMIF(Mercado_Receita!$S$2:$S$241,"44682A4VerdeNão se aplicaNão se aplicaNão se aplicaNão se aplicaFora ponta",Mercado_Receita!$L$2:$L$241)</f>
        <v>155.26900000000001</v>
      </c>
      <c r="T9" s="13">
        <f>SUMIF(Mercado_Receita!$S$2:$S$241,"44713A4VerdeNão se aplicaNão se aplicaNão se aplicaNão se aplicaFora ponta",Mercado_Receita!$L$2:$L$241)</f>
        <v>140.48000000000002</v>
      </c>
      <c r="U9" s="13">
        <f t="shared" si="0"/>
        <v>1244.3510000000001</v>
      </c>
      <c r="V9" s="13"/>
      <c r="W9" s="13"/>
    </row>
    <row r="10" spans="1:30" ht="11.25" customHeight="1" x14ac:dyDescent="0.25">
      <c r="A10" s="88"/>
      <c r="B10" s="88"/>
      <c r="C10" s="88"/>
      <c r="D10" s="88"/>
      <c r="E10" s="87" t="s">
        <v>75</v>
      </c>
      <c r="F10" s="87" t="s">
        <v>25</v>
      </c>
      <c r="G10" s="13" t="s">
        <v>67</v>
      </c>
      <c r="H10" s="13" t="s">
        <v>66</v>
      </c>
      <c r="I10" s="13">
        <f>SUMIF(Mercado_Receita!$S$2:$S$241,"44378A4VerdeNão se aplicaNão se aplicaAPENão se aplicaPonta",Mercado_Receita!$L$2:$L$241)</f>
        <v>0</v>
      </c>
      <c r="J10" s="13">
        <f>SUMIF(Mercado_Receita!$S$2:$S$241,"44409A4VerdeNão se aplicaNão se aplicaAPENão se aplicaPonta",Mercado_Receita!$L$2:$L$241)</f>
        <v>0</v>
      </c>
      <c r="K10" s="13">
        <f>SUMIF(Mercado_Receita!$S$2:$S$241,"44440A4VerdeNão se aplicaNão se aplicaAPENão se aplicaPonta",Mercado_Receita!$L$2:$L$241)</f>
        <v>0</v>
      </c>
      <c r="L10" s="13">
        <f>SUMIF(Mercado_Receita!$S$2:$S$241,"44470A4VerdeNão se aplicaNão se aplicaAPENão se aplicaPonta",Mercado_Receita!$L$2:$L$241)</f>
        <v>0</v>
      </c>
      <c r="M10" s="13">
        <f>SUMIF(Mercado_Receita!$S$2:$S$241,"44501A4VerdeNão se aplicaNão se aplicaAPENão se aplicaPonta",Mercado_Receita!$L$2:$L$241)</f>
        <v>0</v>
      </c>
      <c r="N10" s="13">
        <f>SUMIF(Mercado_Receita!$S$2:$S$241,"44531A4VerdeNão se aplicaNão se aplicaAPENão se aplicaPonta",Mercado_Receita!$L$2:$L$241)</f>
        <v>0</v>
      </c>
      <c r="O10" s="13">
        <f>SUMIF(Mercado_Receita!$S$2:$S$241,"44562A4VerdeNão se aplicaNão se aplicaAPENão se aplicaPonta",Mercado_Receita!$L$2:$L$241)</f>
        <v>0</v>
      </c>
      <c r="P10" s="13">
        <f>SUMIF(Mercado_Receita!$S$2:$S$241,"44593A4VerdeNão se aplicaNão se aplicaAPENão se aplicaPonta",Mercado_Receita!$L$2:$L$241)</f>
        <v>0</v>
      </c>
      <c r="Q10" s="13">
        <f>SUMIF(Mercado_Receita!$S$2:$S$241,"44621A4VerdeNão se aplicaNão se aplicaAPENão se aplicaPonta",Mercado_Receita!$L$2:$L$241)</f>
        <v>0</v>
      </c>
      <c r="R10" s="13">
        <f>SUMIF(Mercado_Receita!$S$2:$S$241,"44652A4VerdeNão se aplicaNão se aplicaAPENão se aplicaPonta",Mercado_Receita!$L$2:$L$241)</f>
        <v>0</v>
      </c>
      <c r="S10" s="13">
        <f>SUMIF(Mercado_Receita!$S$2:$S$241,"44682A4VerdeNão se aplicaNão se aplicaAPENão se aplicaPonta",Mercado_Receita!$L$2:$L$241)</f>
        <v>0</v>
      </c>
      <c r="T10" s="13">
        <f>SUMIF(Mercado_Receita!$S$2:$S$241,"44713A4VerdeNão se aplicaNão se aplicaAPENão se aplicaPonta",Mercado_Receita!$L$2:$L$241)</f>
        <v>0</v>
      </c>
      <c r="U10" s="13">
        <f t="shared" si="0"/>
        <v>0</v>
      </c>
      <c r="V10" s="13"/>
      <c r="W10" s="13"/>
    </row>
    <row r="11" spans="1:30" ht="11.25" customHeight="1" x14ac:dyDescent="0.25">
      <c r="A11" s="88"/>
      <c r="B11" s="88"/>
      <c r="C11" s="88"/>
      <c r="D11" s="88"/>
      <c r="E11" s="88"/>
      <c r="F11" s="88"/>
      <c r="G11" s="13" t="s">
        <v>68</v>
      </c>
      <c r="H11" s="13" t="s">
        <v>66</v>
      </c>
      <c r="I11" s="13">
        <f>SUMIF(Mercado_Receita!$S$2:$S$241,"44378A4VerdeNão se aplicaNão se aplicaAPENão se aplicaFora ponta",Mercado_Receita!$L$2:$L$241)</f>
        <v>0</v>
      </c>
      <c r="J11" s="13">
        <f>SUMIF(Mercado_Receita!$S$2:$S$241,"44409A4VerdeNão se aplicaNão se aplicaAPENão se aplicaFora ponta",Mercado_Receita!$L$2:$L$241)</f>
        <v>0</v>
      </c>
      <c r="K11" s="13">
        <f>SUMIF(Mercado_Receita!$S$2:$S$241,"44440A4VerdeNão se aplicaNão se aplicaAPENão se aplicaFora ponta",Mercado_Receita!$L$2:$L$241)</f>
        <v>0</v>
      </c>
      <c r="L11" s="13">
        <f>SUMIF(Mercado_Receita!$S$2:$S$241,"44470A4VerdeNão se aplicaNão se aplicaAPENão se aplicaFora ponta",Mercado_Receita!$L$2:$L$241)</f>
        <v>0</v>
      </c>
      <c r="M11" s="13">
        <f>SUMIF(Mercado_Receita!$S$2:$S$241,"44501A4VerdeNão se aplicaNão se aplicaAPENão se aplicaFora ponta",Mercado_Receita!$L$2:$L$241)</f>
        <v>0</v>
      </c>
      <c r="N11" s="13">
        <f>SUMIF(Mercado_Receita!$S$2:$S$241,"44531A4VerdeNão se aplicaNão se aplicaAPENão se aplicaFora ponta",Mercado_Receita!$L$2:$L$241)</f>
        <v>0</v>
      </c>
      <c r="O11" s="13">
        <f>SUMIF(Mercado_Receita!$S$2:$S$241,"44562A4VerdeNão se aplicaNão se aplicaAPENão se aplicaFora ponta",Mercado_Receita!$L$2:$L$241)</f>
        <v>0</v>
      </c>
      <c r="P11" s="13">
        <f>SUMIF(Mercado_Receita!$S$2:$S$241,"44593A4VerdeNão se aplicaNão se aplicaAPENão se aplicaFora ponta",Mercado_Receita!$L$2:$L$241)</f>
        <v>0</v>
      </c>
      <c r="Q11" s="13">
        <f>SUMIF(Mercado_Receita!$S$2:$S$241,"44621A4VerdeNão se aplicaNão se aplicaAPENão se aplicaFora ponta",Mercado_Receita!$L$2:$L$241)</f>
        <v>0</v>
      </c>
      <c r="R11" s="13">
        <f>SUMIF(Mercado_Receita!$S$2:$S$241,"44652A4VerdeNão se aplicaNão se aplicaAPENão se aplicaFora ponta",Mercado_Receita!$L$2:$L$241)</f>
        <v>0</v>
      </c>
      <c r="S11" s="13">
        <f>SUMIF(Mercado_Receita!$S$2:$S$241,"44682A4VerdeNão se aplicaNão se aplicaAPENão se aplicaFora ponta",Mercado_Receita!$L$2:$L$241)</f>
        <v>0</v>
      </c>
      <c r="T11" s="13">
        <f>SUMIF(Mercado_Receita!$S$2:$S$241,"44713A4VerdeNão se aplicaNão se aplicaAPENão se aplicaFora ponta",Mercado_Receita!$L$2:$L$241)</f>
        <v>0</v>
      </c>
      <c r="U11" s="13">
        <f t="shared" si="0"/>
        <v>0</v>
      </c>
      <c r="V11" s="13"/>
      <c r="W11" s="13"/>
    </row>
    <row r="12" spans="1:30" ht="11.25" customHeight="1" x14ac:dyDescent="0.25">
      <c r="A12" s="87" t="s">
        <v>77</v>
      </c>
      <c r="B12" s="87" t="s">
        <v>76</v>
      </c>
      <c r="C12" s="87" t="s">
        <v>25</v>
      </c>
      <c r="D12" s="87" t="s">
        <v>25</v>
      </c>
      <c r="E12" s="12" t="s">
        <v>78</v>
      </c>
      <c r="F12" s="12" t="s">
        <v>25</v>
      </c>
      <c r="G12" s="13" t="s">
        <v>9</v>
      </c>
      <c r="H12" s="13" t="s">
        <v>72</v>
      </c>
      <c r="I12" s="13">
        <f>SUMIF(Mercado_Receita!$S$2:$S$241,"44378BGeraçãoNão se aplicaNão se aplicaTIPO 01Não se aplicaNão se aplica",Mercado_Receita!$J$2:$J$241)+SUMIF(Mercado_Receita!$S$2:$S$241,"44378BGeraçãoNão se aplicaNão se aplicaAPENão se aplicaNão se aplica",Mercado_Receita!$J$2:$J$241)</f>
        <v>0</v>
      </c>
      <c r="J12" s="13">
        <f>SUMIF(Mercado_Receita!$S$2:$S$241,"44409BGeraçãoNão se aplicaNão se aplicaTIPO 01Não se aplicaNão se aplica",Mercado_Receita!$J$2:$J$241)+SUMIF(Mercado_Receita!$S$2:$S$241,"44409BGeraçãoNão se aplicaNão se aplicaAPENão se aplicaNão se aplica",Mercado_Receita!$J$2:$J$241)</f>
        <v>0</v>
      </c>
      <c r="K12" s="13">
        <f>SUMIF(Mercado_Receita!$S$2:$S$241,"44440BGeraçãoNão se aplicaNão se aplicaTIPO 01Não se aplicaNão se aplica",Mercado_Receita!$J$2:$J$241)+SUMIF(Mercado_Receita!$S$2:$S$241,"44440BGeraçãoNão se aplicaNão se aplicaAPENão se aplicaNão se aplica",Mercado_Receita!$J$2:$J$241)</f>
        <v>0</v>
      </c>
      <c r="L12" s="13">
        <f>SUMIF(Mercado_Receita!$S$2:$S$241,"44470BGeraçãoNão se aplicaNão se aplicaTIPO 01Não se aplicaNão se aplica",Mercado_Receita!$J$2:$J$241)+SUMIF(Mercado_Receita!$S$2:$S$241,"44470BGeraçãoNão se aplicaNão se aplicaAPENão se aplicaNão se aplica",Mercado_Receita!$J$2:$J$241)</f>
        <v>0</v>
      </c>
      <c r="M12" s="13">
        <f>SUMIF(Mercado_Receita!$S$2:$S$241,"44501BGeraçãoNão se aplicaNão se aplicaTIPO 01Não se aplicaNão se aplica",Mercado_Receita!$J$2:$J$241)+SUMIF(Mercado_Receita!$S$2:$S$241,"44501BGeraçãoNão se aplicaNão se aplicaAPENão se aplicaNão se aplica",Mercado_Receita!$J$2:$J$241)</f>
        <v>0</v>
      </c>
      <c r="N12" s="13">
        <f>SUMIF(Mercado_Receita!$S$2:$S$241,"44531BGeraçãoNão se aplicaNão se aplicaTIPO 01Não se aplicaNão se aplica",Mercado_Receita!$J$2:$J$241)+SUMIF(Mercado_Receita!$S$2:$S$241,"44531BGeraçãoNão se aplicaNão se aplicaAPENão se aplicaNão se aplica",Mercado_Receita!$J$2:$J$241)</f>
        <v>0</v>
      </c>
      <c r="O12" s="13">
        <f>SUMIF(Mercado_Receita!$S$2:$S$241,"44562BGeraçãoNão se aplicaNão se aplicaTIPO 01Não se aplicaNão se aplica",Mercado_Receita!$J$2:$J$241)+SUMIF(Mercado_Receita!$S$2:$S$241,"44562BGeraçãoNão se aplicaNão se aplicaAPENão se aplicaNão se aplica",Mercado_Receita!$J$2:$J$241)</f>
        <v>0</v>
      </c>
      <c r="P12" s="13">
        <f>SUMIF(Mercado_Receita!$S$2:$S$241,"44593BGeraçãoNão se aplicaNão se aplicaTIPO 01Não se aplicaNão se aplica",Mercado_Receita!$J$2:$J$241)+SUMIF(Mercado_Receita!$S$2:$S$241,"44593BGeraçãoNão se aplicaNão se aplicaAPENão se aplicaNão se aplica",Mercado_Receita!$J$2:$J$241)</f>
        <v>0</v>
      </c>
      <c r="Q12" s="13">
        <f>SUMIF(Mercado_Receita!$S$2:$S$241,"44621BGeraçãoNão se aplicaNão se aplicaTIPO 01Não se aplicaNão se aplica",Mercado_Receita!$J$2:$J$241)+SUMIF(Mercado_Receita!$S$2:$S$241,"44621BGeraçãoNão se aplicaNão se aplicaAPENão se aplicaNão se aplica",Mercado_Receita!$J$2:$J$241)</f>
        <v>0</v>
      </c>
      <c r="R12" s="13">
        <f>SUMIF(Mercado_Receita!$S$2:$S$241,"44652BGeraçãoNão se aplicaNão se aplicaTIPO 01Não se aplicaNão se aplica",Mercado_Receita!$J$2:$J$241)+SUMIF(Mercado_Receita!$S$2:$S$241,"44652BGeraçãoNão se aplicaNão se aplicaAPENão se aplicaNão se aplica",Mercado_Receita!$J$2:$J$241)</f>
        <v>0</v>
      </c>
      <c r="S12" s="13">
        <f>SUMIF(Mercado_Receita!$S$2:$S$241,"44682BGeraçãoNão se aplicaNão se aplicaTIPO 01Não se aplicaNão se aplica",Mercado_Receita!$J$2:$J$241)+SUMIF(Mercado_Receita!$S$2:$S$241,"44682BGeraçãoNão se aplicaNão se aplicaAPENão se aplicaNão se aplica",Mercado_Receita!$J$2:$J$241)</f>
        <v>0</v>
      </c>
      <c r="T12" s="13">
        <f>SUMIF(Mercado_Receita!$S$2:$S$241,"44713BGeraçãoNão se aplicaNão se aplicaTIPO 01Não se aplicaNão se aplica",Mercado_Receita!$J$2:$J$241)+SUMIF(Mercado_Receita!$S$2:$S$241,"44713BGeraçãoNão se aplicaNão se aplicaAPENão se aplicaNão se aplica",Mercado_Receita!$J$2:$J$241)</f>
        <v>0</v>
      </c>
      <c r="U12" s="13">
        <f t="shared" si="0"/>
        <v>0</v>
      </c>
      <c r="V12" s="13"/>
      <c r="W12" s="13"/>
    </row>
    <row r="13" spans="1:30" ht="11.25" customHeight="1" x14ac:dyDescent="0.25">
      <c r="A13" s="88"/>
      <c r="B13" s="88"/>
      <c r="C13" s="88"/>
      <c r="D13" s="88"/>
      <c r="E13" s="12" t="s">
        <v>79</v>
      </c>
      <c r="F13" s="12" t="s">
        <v>25</v>
      </c>
      <c r="G13" s="13" t="s">
        <v>9</v>
      </c>
      <c r="H13" s="13" t="s">
        <v>72</v>
      </c>
      <c r="I13" s="13">
        <f>SUMIF(Mercado_Receita!$S$2:$S$241,"44378BGeraçãoNão se aplicaNão se aplicaTIPO 02Não se aplicaNão se aplica",Mercado_Receita!$J$2:$J$241)+SUMIF(Mercado_Receita!$S$2:$S$241,"44378BGeraçãoNão se aplicaNão se aplicaAPENão se aplicaNão se aplica",Mercado_Receita!$J$2:$J$241)</f>
        <v>0</v>
      </c>
      <c r="J13" s="13">
        <f>SUMIF(Mercado_Receita!$S$2:$S$241,"44409BGeraçãoNão se aplicaNão se aplicaTIPO 02Não se aplicaNão se aplica",Mercado_Receita!$J$2:$J$241)+SUMIF(Mercado_Receita!$S$2:$S$241,"44409BGeraçãoNão se aplicaNão se aplicaAPENão se aplicaNão se aplica",Mercado_Receita!$J$2:$J$241)</f>
        <v>0</v>
      </c>
      <c r="K13" s="13">
        <f>SUMIF(Mercado_Receita!$S$2:$S$241,"44440BGeraçãoNão se aplicaNão se aplicaTIPO 02Não se aplicaNão se aplica",Mercado_Receita!$J$2:$J$241)+SUMIF(Mercado_Receita!$S$2:$S$241,"44440BGeraçãoNão se aplicaNão se aplicaAPENão se aplicaNão se aplica",Mercado_Receita!$J$2:$J$241)</f>
        <v>0</v>
      </c>
      <c r="L13" s="13">
        <f>SUMIF(Mercado_Receita!$S$2:$S$241,"44470BGeraçãoNão se aplicaNão se aplicaTIPO 02Não se aplicaNão se aplica",Mercado_Receita!$J$2:$J$241)+SUMIF(Mercado_Receita!$S$2:$S$241,"44470BGeraçãoNão se aplicaNão se aplicaAPENão se aplicaNão se aplica",Mercado_Receita!$J$2:$J$241)</f>
        <v>0</v>
      </c>
      <c r="M13" s="13">
        <f>SUMIF(Mercado_Receita!$S$2:$S$241,"44501BGeraçãoNão se aplicaNão se aplicaTIPO 02Não se aplicaNão se aplica",Mercado_Receita!$J$2:$J$241)+SUMIF(Mercado_Receita!$S$2:$S$241,"44501BGeraçãoNão se aplicaNão se aplicaAPENão se aplicaNão se aplica",Mercado_Receita!$J$2:$J$241)</f>
        <v>0</v>
      </c>
      <c r="N13" s="13">
        <f>SUMIF(Mercado_Receita!$S$2:$S$241,"44531BGeraçãoNão se aplicaNão se aplicaTIPO 02Não se aplicaNão se aplica",Mercado_Receita!$J$2:$J$241)+SUMIF(Mercado_Receita!$S$2:$S$241,"44531BGeraçãoNão se aplicaNão se aplicaAPENão se aplicaNão se aplica",Mercado_Receita!$J$2:$J$241)</f>
        <v>0</v>
      </c>
      <c r="O13" s="13">
        <f>SUMIF(Mercado_Receita!$S$2:$S$241,"44562BGeraçãoNão se aplicaNão se aplicaTIPO 02Não se aplicaNão se aplica",Mercado_Receita!$J$2:$J$241)+SUMIF(Mercado_Receita!$S$2:$S$241,"44562BGeraçãoNão se aplicaNão se aplicaAPENão se aplicaNão se aplica",Mercado_Receita!$J$2:$J$241)</f>
        <v>0</v>
      </c>
      <c r="P13" s="13">
        <f>SUMIF(Mercado_Receita!$S$2:$S$241,"44593BGeraçãoNão se aplicaNão se aplicaTIPO 02Não se aplicaNão se aplica",Mercado_Receita!$J$2:$J$241)+SUMIF(Mercado_Receita!$S$2:$S$241,"44593BGeraçãoNão se aplicaNão se aplicaAPENão se aplicaNão se aplica",Mercado_Receita!$J$2:$J$241)</f>
        <v>0</v>
      </c>
      <c r="Q13" s="13">
        <f>SUMIF(Mercado_Receita!$S$2:$S$241,"44621BGeraçãoNão se aplicaNão se aplicaTIPO 02Não se aplicaNão se aplica",Mercado_Receita!$J$2:$J$241)+SUMIF(Mercado_Receita!$S$2:$S$241,"44621BGeraçãoNão se aplicaNão se aplicaAPENão se aplicaNão se aplica",Mercado_Receita!$J$2:$J$241)</f>
        <v>0</v>
      </c>
      <c r="R13" s="13">
        <f>SUMIF(Mercado_Receita!$S$2:$S$241,"44652BGeraçãoNão se aplicaNão se aplicaTIPO 02Não se aplicaNão se aplica",Mercado_Receita!$J$2:$J$241)+SUMIF(Mercado_Receita!$S$2:$S$241,"44652BGeraçãoNão se aplicaNão se aplicaAPENão se aplicaNão se aplica",Mercado_Receita!$J$2:$J$241)</f>
        <v>0</v>
      </c>
      <c r="S13" s="13">
        <f>SUMIF(Mercado_Receita!$S$2:$S$241,"44682BGeraçãoNão se aplicaNão se aplicaTIPO 02Não se aplicaNão se aplica",Mercado_Receita!$J$2:$J$241)+SUMIF(Mercado_Receita!$S$2:$S$241,"44682BGeraçãoNão se aplicaNão se aplicaAPENão se aplicaNão se aplica",Mercado_Receita!$J$2:$J$241)</f>
        <v>0</v>
      </c>
      <c r="T13" s="13">
        <f>SUMIF(Mercado_Receita!$S$2:$S$241,"44713BGeraçãoNão se aplicaNão se aplicaTIPO 02Não se aplicaNão se aplica",Mercado_Receita!$J$2:$J$241)+SUMIF(Mercado_Receita!$S$2:$S$241,"44713BGeraçãoNão se aplicaNão se aplicaAPENão se aplicaNão se aplica",Mercado_Receita!$J$2:$J$241)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87" t="s">
        <v>22</v>
      </c>
      <c r="B14" s="87" t="s">
        <v>33</v>
      </c>
      <c r="C14" s="87" t="s">
        <v>24</v>
      </c>
      <c r="D14" s="87" t="s">
        <v>24</v>
      </c>
      <c r="E14" s="87" t="s">
        <v>25</v>
      </c>
      <c r="F14" s="87" t="s">
        <v>25</v>
      </c>
      <c r="G14" s="13" t="s">
        <v>67</v>
      </c>
      <c r="H14" s="13" t="s">
        <v>66</v>
      </c>
      <c r="I14" s="13">
        <f>SUMIF(Mercado_Receita!$S$2:$S$241,"44378B1BrancaResidencialResidencialNão se aplicaNão se aplicaPonta",Mercado_Receita!$L$2:$L$241)</f>
        <v>2.1999999999999999E-2</v>
      </c>
      <c r="J14" s="13">
        <f>SUMIF(Mercado_Receita!$S$2:$S$241,"44409B1BrancaResidencialResidencialNão se aplicaNão se aplicaPonta",Mercado_Receita!$L$2:$L$241)</f>
        <v>2.3E-2</v>
      </c>
      <c r="K14" s="13">
        <f>SUMIF(Mercado_Receita!$S$2:$S$241,"44440B1BrancaResidencialResidencialNão se aplicaNão se aplicaPonta",Mercado_Receita!$L$2:$L$241)</f>
        <v>2.5999999999999999E-2</v>
      </c>
      <c r="L14" s="13">
        <f>SUMIF(Mercado_Receita!$S$2:$S$241,"44470B1BrancaResidencialResidencialNão se aplicaNão se aplicaPonta",Mercado_Receita!$L$2:$L$241)</f>
        <v>2.4E-2</v>
      </c>
      <c r="M14" s="13">
        <f>SUMIF(Mercado_Receita!$S$2:$S$241,"44501B1BrancaResidencialResidencialNão se aplicaNão se aplicaPonta",Mercado_Receita!$L$2:$L$241)</f>
        <v>2.1999999999999999E-2</v>
      </c>
      <c r="N14" s="13">
        <f>SUMIF(Mercado_Receita!$S$2:$S$241,"44531B1BrancaResidencialResidencialNão se aplicaNão se aplicaPonta",Mercado_Receita!$L$2:$L$241)</f>
        <v>2.7E-2</v>
      </c>
      <c r="O14" s="13">
        <f>SUMIF(Mercado_Receita!$S$2:$S$241,"44562B1BrancaResidencialResidencialNão se aplicaNão se aplicaPonta",Mercado_Receita!$L$2:$L$241)</f>
        <v>2.9000000000000001E-2</v>
      </c>
      <c r="P14" s="13">
        <f>SUMIF(Mercado_Receita!$S$2:$S$241,"44593B1BrancaResidencialResidencialNão se aplicaNão se aplicaPonta",Mercado_Receita!$L$2:$L$241)</f>
        <v>2.9000000000000001E-2</v>
      </c>
      <c r="Q14" s="13">
        <f>SUMIF(Mercado_Receita!$S$2:$S$241,"44621B1BrancaResidencialResidencialNão se aplicaNão se aplicaPonta",Mercado_Receita!$L$2:$L$241)</f>
        <v>2.4E-2</v>
      </c>
      <c r="R14" s="13">
        <f>SUMIF(Mercado_Receita!$S$2:$S$241,"44652B1BrancaResidencialResidencialNão se aplicaNão se aplicaPonta",Mercado_Receita!$L$2:$L$241)</f>
        <v>0</v>
      </c>
      <c r="S14" s="13">
        <f>SUMIF(Mercado_Receita!$S$2:$S$241,"44682B1BrancaResidencialResidencialNão se aplicaNão se aplicaPonta",Mercado_Receita!$L$2:$L$241)</f>
        <v>0</v>
      </c>
      <c r="T14" s="13">
        <f>SUMIF(Mercado_Receita!$S$2:$S$241,"44713B1BrancaResidencialResidencialNão se aplicaNão se aplicaPonta",Mercado_Receita!$L$2:$L$241)</f>
        <v>0</v>
      </c>
      <c r="U14" s="13">
        <f t="shared" si="0"/>
        <v>0.22599999999999998</v>
      </c>
      <c r="V14" s="13"/>
      <c r="W14" s="13"/>
    </row>
    <row r="15" spans="1:30" ht="11.25" customHeight="1" x14ac:dyDescent="0.25">
      <c r="A15" s="88"/>
      <c r="B15" s="88"/>
      <c r="C15" s="88"/>
      <c r="D15" s="88"/>
      <c r="E15" s="88"/>
      <c r="F15" s="88"/>
      <c r="G15" s="13" t="s">
        <v>80</v>
      </c>
      <c r="H15" s="13" t="s">
        <v>66</v>
      </c>
      <c r="I15" s="13">
        <f>SUMIF(Mercado_Receita!$S$2:$S$241,"44378B1BrancaResidencialResidencialNão se aplicaNão se aplicaIntermediário",Mercado_Receita!$L$2:$L$241)</f>
        <v>1.4999999999999999E-2</v>
      </c>
      <c r="J15" s="13">
        <f>SUMIF(Mercado_Receita!$S$2:$S$241,"44409B1BrancaResidencialResidencialNão se aplicaNão se aplicaIntermediário",Mercado_Receita!$L$2:$L$241)</f>
        <v>1.6E-2</v>
      </c>
      <c r="K15" s="13">
        <f>SUMIF(Mercado_Receita!$S$2:$S$241,"44440B1BrancaResidencialResidencialNão se aplicaNão se aplicaIntermediário",Mercado_Receita!$L$2:$L$241)</f>
        <v>1.6E-2</v>
      </c>
      <c r="L15" s="13">
        <f>SUMIF(Mercado_Receita!$S$2:$S$241,"44470B1BrancaResidencialResidencialNão se aplicaNão se aplicaIntermediário",Mercado_Receita!$L$2:$L$241)</f>
        <v>1.7999999999999999E-2</v>
      </c>
      <c r="M15" s="13">
        <f>SUMIF(Mercado_Receita!$S$2:$S$241,"44501B1BrancaResidencialResidencialNão se aplicaNão se aplicaIntermediário",Mercado_Receita!$L$2:$L$241)</f>
        <v>0.1</v>
      </c>
      <c r="N15" s="13">
        <f>SUMIF(Mercado_Receita!$S$2:$S$241,"44531B1BrancaResidencialResidencialNão se aplicaNão se aplicaIntermediário",Mercado_Receita!$L$2:$L$241)</f>
        <v>7.4999999999999997E-2</v>
      </c>
      <c r="O15" s="13">
        <f>SUMIF(Mercado_Receita!$S$2:$S$241,"44562B1BrancaResidencialResidencialNão se aplicaNão se aplicaIntermediário",Mercado_Receita!$L$2:$L$241)</f>
        <v>0.02</v>
      </c>
      <c r="P15" s="13">
        <f>SUMIF(Mercado_Receita!$S$2:$S$241,"44593B1BrancaResidencialResidencialNão se aplicaNão se aplicaIntermediário",Mercado_Receita!$L$2:$L$241)</f>
        <v>0.02</v>
      </c>
      <c r="Q15" s="13">
        <f>SUMIF(Mercado_Receita!$S$2:$S$241,"44621B1BrancaResidencialResidencialNão se aplicaNão se aplicaIntermediário",Mercado_Receita!$L$2:$L$241)</f>
        <v>1.4999999999999999E-2</v>
      </c>
      <c r="R15" s="13">
        <f>SUMIF(Mercado_Receita!$S$2:$S$241,"44652B1BrancaResidencialResidencialNão se aplicaNão se aplicaIntermediário",Mercado_Receita!$L$2:$L$241)</f>
        <v>0</v>
      </c>
      <c r="S15" s="13">
        <f>SUMIF(Mercado_Receita!$S$2:$S$241,"44682B1BrancaResidencialResidencialNão se aplicaNão se aplicaIntermediário",Mercado_Receita!$L$2:$L$241)</f>
        <v>0</v>
      </c>
      <c r="T15" s="13">
        <f>SUMIF(Mercado_Receita!$S$2:$S$241,"44713B1BrancaResidencialResidencialNão se aplicaNão se aplicaIntermediário",Mercado_Receita!$L$2:$L$241)</f>
        <v>0</v>
      </c>
      <c r="U15" s="13">
        <f t="shared" si="0"/>
        <v>0.29500000000000004</v>
      </c>
      <c r="V15" s="13"/>
      <c r="W15" s="13"/>
    </row>
    <row r="16" spans="1:30" ht="11.25" customHeight="1" x14ac:dyDescent="0.25">
      <c r="A16" s="88"/>
      <c r="B16" s="88"/>
      <c r="C16" s="88"/>
      <c r="D16" s="88"/>
      <c r="E16" s="88"/>
      <c r="F16" s="88"/>
      <c r="G16" s="13" t="s">
        <v>68</v>
      </c>
      <c r="H16" s="13" t="s">
        <v>66</v>
      </c>
      <c r="I16" s="13">
        <f>SUMIF(Mercado_Receita!$S$2:$S$241,"44378B1BrancaResidencialResidencialNão se aplicaNão se aplicaFora ponta",Mercado_Receita!$L$2:$L$241)</f>
        <v>0.20899999999999999</v>
      </c>
      <c r="J16" s="13">
        <f>SUMIF(Mercado_Receita!$S$2:$S$241,"44409B1BrancaResidencialResidencialNão se aplicaNão se aplicaFora ponta",Mercado_Receita!$L$2:$L$241)</f>
        <v>0.20200000000000001</v>
      </c>
      <c r="K16" s="13">
        <f>SUMIF(Mercado_Receita!$S$2:$S$241,"44440B1BrancaResidencialResidencialNão se aplicaNão se aplicaFora ponta",Mercado_Receita!$L$2:$L$241)</f>
        <v>0.23899999999999999</v>
      </c>
      <c r="L16" s="13">
        <f>SUMIF(Mercado_Receita!$S$2:$S$241,"44470B1BrancaResidencialResidencialNão se aplicaNão se aplicaFora ponta",Mercado_Receita!$L$2:$L$241)</f>
        <v>0.247</v>
      </c>
      <c r="M16" s="13">
        <f>SUMIF(Mercado_Receita!$S$2:$S$241,"44501B1BrancaResidencialResidencialNão se aplicaNão se aplicaFora ponta",Mercado_Receita!$L$2:$L$241)</f>
        <v>0.28100000000000003</v>
      </c>
      <c r="N16" s="13">
        <f>SUMIF(Mercado_Receita!$S$2:$S$241,"44531B1BrancaResidencialResidencialNão se aplicaNão se aplicaFora ponta",Mercado_Receita!$L$2:$L$241)</f>
        <v>0.28499999999999998</v>
      </c>
      <c r="O16" s="13">
        <f>SUMIF(Mercado_Receita!$S$2:$S$241,"44562B1BrancaResidencialResidencialNão se aplicaNão se aplicaFora ponta",Mercado_Receita!$L$2:$L$241)</f>
        <v>0.26400000000000001</v>
      </c>
      <c r="P16" s="13">
        <f>SUMIF(Mercado_Receita!$S$2:$S$241,"44593B1BrancaResidencialResidencialNão se aplicaNão se aplicaFora ponta",Mercado_Receita!$L$2:$L$241)</f>
        <v>0.27400000000000002</v>
      </c>
      <c r="Q16" s="13">
        <f>SUMIF(Mercado_Receita!$S$2:$S$241,"44621B1BrancaResidencialResidencialNão se aplicaNão se aplicaFora ponta",Mercado_Receita!$L$2:$L$241)</f>
        <v>0.21</v>
      </c>
      <c r="R16" s="13">
        <f>SUMIF(Mercado_Receita!$S$2:$S$241,"44652B1BrancaResidencialResidencialNão se aplicaNão se aplicaFora ponta",Mercado_Receita!$L$2:$L$241)</f>
        <v>0</v>
      </c>
      <c r="S16" s="13">
        <f>SUMIF(Mercado_Receita!$S$2:$S$241,"44682B1BrancaResidencialResidencialNão se aplicaNão se aplicaFora ponta",Mercado_Receita!$L$2:$L$241)</f>
        <v>0</v>
      </c>
      <c r="T16" s="13">
        <f>SUMIF(Mercado_Receita!$S$2:$S$241,"44713B1BrancaResidencialResidencialNão se aplicaNão se aplicaFora ponta",Mercado_Receita!$L$2:$L$241)</f>
        <v>0</v>
      </c>
      <c r="U16" s="13">
        <f t="shared" si="0"/>
        <v>2.2109999999999999</v>
      </c>
      <c r="V16" s="13"/>
      <c r="W16" s="13"/>
    </row>
    <row r="17" spans="1:23" ht="11.25" customHeight="1" x14ac:dyDescent="0.25">
      <c r="A17" s="88"/>
      <c r="B17" s="87" t="s">
        <v>23</v>
      </c>
      <c r="C17" s="87" t="s">
        <v>24</v>
      </c>
      <c r="D17" s="12" t="s">
        <v>24</v>
      </c>
      <c r="E17" s="12" t="s">
        <v>25</v>
      </c>
      <c r="F17" s="12" t="s">
        <v>25</v>
      </c>
      <c r="G17" s="13" t="s">
        <v>70</v>
      </c>
      <c r="H17" s="13" t="s">
        <v>66</v>
      </c>
      <c r="I17" s="13">
        <f>SUMIF(Mercado_Receita!$S$2:$S$241,"44378B1ConvencionalResidencialResidencialNão se aplicaNão se aplicaPonta",Mercado_Receita!$L$2:$L$241)+SUMIF(Mercado_Receita!$S$2:$S$241,"44378B1ConvencionalResidencialResidencialNão se aplicaNão se aplicaFora ponta",Mercado_Receita!$L$2:$L$241)+SUMIF(Mercado_Receita!$S$2:$S$241,"44378B1ConvencionalResidencialResidencialNão se aplicaNão se aplicaIntermediário",Mercado_Receita!$L$2:$L$241)+SUMIF(Mercado_Receita!$S$2:$S$241,"44378B1ConvencionalResidencialResidencialNão se aplicaNão se aplicaNão se aplica",Mercado_Receita!$L$2:$L$241)</f>
        <v>990.09299999999996</v>
      </c>
      <c r="J17" s="13">
        <f>SUMIF(Mercado_Receita!$S$2:$S$241,"44409B1ConvencionalResidencialResidencialNão se aplicaNão se aplicaPonta",Mercado_Receita!$L$2:$L$241)+SUMIF(Mercado_Receita!$S$2:$S$241,"44409B1ConvencionalResidencialResidencialNão se aplicaNão se aplicaFora ponta",Mercado_Receita!$L$2:$L$241)+SUMIF(Mercado_Receita!$S$2:$S$241,"44409B1ConvencionalResidencialResidencialNão se aplicaNão se aplicaIntermediário",Mercado_Receita!$L$2:$L$241)+SUMIF(Mercado_Receita!$S$2:$S$241,"44409B1ConvencionalResidencialResidencialNão se aplicaNão se aplicaNão se aplica",Mercado_Receita!$L$2:$L$241)</f>
        <v>1059.653</v>
      </c>
      <c r="K17" s="13">
        <f>SUMIF(Mercado_Receita!$S$2:$S$241,"44440B1ConvencionalResidencialResidencialNão se aplicaNão se aplicaPonta",Mercado_Receita!$L$2:$L$241)+SUMIF(Mercado_Receita!$S$2:$S$241,"44440B1ConvencionalResidencialResidencialNão se aplicaNão se aplicaFora ponta",Mercado_Receita!$L$2:$L$241)+SUMIF(Mercado_Receita!$S$2:$S$241,"44440B1ConvencionalResidencialResidencialNão se aplicaNão se aplicaIntermediário",Mercado_Receita!$L$2:$L$241)+SUMIF(Mercado_Receita!$S$2:$S$241,"44440B1ConvencionalResidencialResidencialNão se aplicaNão se aplicaNão se aplica",Mercado_Receita!$L$2:$L$241)</f>
        <v>1021.4470000000001</v>
      </c>
      <c r="L17" s="13">
        <f>SUMIF(Mercado_Receita!$S$2:$S$241,"44470B1ConvencionalResidencialResidencialNão se aplicaNão se aplicaPonta",Mercado_Receita!$L$2:$L$241)+SUMIF(Mercado_Receita!$S$2:$S$241,"44470B1ConvencionalResidencialResidencialNão se aplicaNão se aplicaFora ponta",Mercado_Receita!$L$2:$L$241)+SUMIF(Mercado_Receita!$S$2:$S$241,"44470B1ConvencionalResidencialResidencialNão se aplicaNão se aplicaIntermediário",Mercado_Receita!$L$2:$L$241)+SUMIF(Mercado_Receita!$S$2:$S$241,"44470B1ConvencionalResidencialResidencialNão se aplicaNão se aplicaNão se aplica",Mercado_Receita!$L$2:$L$241)</f>
        <v>1047.953</v>
      </c>
      <c r="M17" s="13">
        <f>SUMIF(Mercado_Receita!$S$2:$S$241,"44501B1ConvencionalResidencialResidencialNão se aplicaNão se aplicaPonta",Mercado_Receita!$L$2:$L$241)+SUMIF(Mercado_Receita!$S$2:$S$241,"44501B1ConvencionalResidencialResidencialNão se aplicaNão se aplicaFora ponta",Mercado_Receita!$L$2:$L$241)+SUMIF(Mercado_Receita!$S$2:$S$241,"44501B1ConvencionalResidencialResidencialNão se aplicaNão se aplicaIntermediário",Mercado_Receita!$L$2:$L$241)+SUMIF(Mercado_Receita!$S$2:$S$241,"44501B1ConvencionalResidencialResidencialNão se aplicaNão se aplicaNão se aplica",Mercado_Receita!$L$2:$L$241)</f>
        <v>1000.782</v>
      </c>
      <c r="N17" s="13">
        <f>SUMIF(Mercado_Receita!$S$2:$S$241,"44531B1ConvencionalResidencialResidencialNão se aplicaNão se aplicaPonta",Mercado_Receita!$L$2:$L$241)+SUMIF(Mercado_Receita!$S$2:$S$241,"44531B1ConvencionalResidencialResidencialNão se aplicaNão se aplicaFora ponta",Mercado_Receita!$L$2:$L$241)+SUMIF(Mercado_Receita!$S$2:$S$241,"44531B1ConvencionalResidencialResidencialNão se aplicaNão se aplicaIntermediário",Mercado_Receita!$L$2:$L$241)+SUMIF(Mercado_Receita!$S$2:$S$241,"44531B1ConvencionalResidencialResidencialNão se aplicaNão se aplicaNão se aplica",Mercado_Receita!$L$2:$L$241)</f>
        <v>965.77099999999996</v>
      </c>
      <c r="O17" s="13">
        <f>SUMIF(Mercado_Receita!$S$2:$S$241,"44562B1ConvencionalResidencialResidencialNão se aplicaNão se aplicaPonta",Mercado_Receita!$L$2:$L$241)+SUMIF(Mercado_Receita!$S$2:$S$241,"44562B1ConvencionalResidencialResidencialNão se aplicaNão se aplicaFora ponta",Mercado_Receita!$L$2:$L$241)+SUMIF(Mercado_Receita!$S$2:$S$241,"44562B1ConvencionalResidencialResidencialNão se aplicaNão se aplicaIntermediário",Mercado_Receita!$L$2:$L$241)+SUMIF(Mercado_Receita!$S$2:$S$241,"44562B1ConvencionalResidencialResidencialNão se aplicaNão se aplicaNão se aplica",Mercado_Receita!$L$2:$L$241)</f>
        <v>1096.271</v>
      </c>
      <c r="P17" s="13">
        <f>SUMIF(Mercado_Receita!$S$2:$S$241,"44593B1ConvencionalResidencialResidencialNão se aplicaNão se aplicaPonta",Mercado_Receita!$L$2:$L$241)+SUMIF(Mercado_Receita!$S$2:$S$241,"44593B1ConvencionalResidencialResidencialNão se aplicaNão se aplicaFora ponta",Mercado_Receita!$L$2:$L$241)+SUMIF(Mercado_Receita!$S$2:$S$241,"44593B1ConvencionalResidencialResidencialNão se aplicaNão se aplicaIntermediário",Mercado_Receita!$L$2:$L$241)+SUMIF(Mercado_Receita!$S$2:$S$241,"44593B1ConvencionalResidencialResidencialNão se aplicaNão se aplicaNão se aplica",Mercado_Receita!$L$2:$L$241)</f>
        <v>991.28499999999997</v>
      </c>
      <c r="Q17" s="13">
        <f>SUMIF(Mercado_Receita!$S$2:$S$241,"44621B1ConvencionalResidencialResidencialNão se aplicaNão se aplicaPonta",Mercado_Receita!$L$2:$L$241)+SUMIF(Mercado_Receita!$S$2:$S$241,"44621B1ConvencionalResidencialResidencialNão se aplicaNão se aplicaFora ponta",Mercado_Receita!$L$2:$L$241)+SUMIF(Mercado_Receita!$S$2:$S$241,"44621B1ConvencionalResidencialResidencialNão se aplicaNão se aplicaIntermediário",Mercado_Receita!$L$2:$L$241)+SUMIF(Mercado_Receita!$S$2:$S$241,"44621B1ConvencionalResidencialResidencialNão se aplicaNão se aplicaNão se aplica",Mercado_Receita!$L$2:$L$241)</f>
        <v>919.8069999999999</v>
      </c>
      <c r="R17" s="13">
        <f>SUMIF(Mercado_Receita!$S$2:$S$241,"44652B1ConvencionalResidencialResidencialNão se aplicaNão se aplicaPonta",Mercado_Receita!$L$2:$L$241)+SUMIF(Mercado_Receita!$S$2:$S$241,"44652B1ConvencionalResidencialResidencialNão se aplicaNão se aplicaFora ponta",Mercado_Receita!$L$2:$L$241)+SUMIF(Mercado_Receita!$S$2:$S$241,"44652B1ConvencionalResidencialResidencialNão se aplicaNão se aplicaIntermediário",Mercado_Receita!$L$2:$L$241)+SUMIF(Mercado_Receita!$S$2:$S$241,"44652B1ConvencionalResidencialResidencialNão se aplicaNão se aplicaNão se aplica",Mercado_Receita!$L$2:$L$241)</f>
        <v>943.9910000000001</v>
      </c>
      <c r="S17" s="13">
        <f>SUMIF(Mercado_Receita!$S$2:$S$241,"44682B1ConvencionalResidencialResidencialNão se aplicaNão se aplicaPonta",Mercado_Receita!$L$2:$L$241)+SUMIF(Mercado_Receita!$S$2:$S$241,"44682B1ConvencionalResidencialResidencialNão se aplicaNão se aplicaFora ponta",Mercado_Receita!$L$2:$L$241)+SUMIF(Mercado_Receita!$S$2:$S$241,"44682B1ConvencionalResidencialResidencialNão se aplicaNão se aplicaIntermediário",Mercado_Receita!$L$2:$L$241)+SUMIF(Mercado_Receita!$S$2:$S$241,"44682B1ConvencionalResidencialResidencialNão se aplicaNão se aplicaNão se aplica",Mercado_Receita!$L$2:$L$241)</f>
        <v>865.93299999999999</v>
      </c>
      <c r="T17" s="13">
        <f>SUMIF(Mercado_Receita!$S$2:$S$241,"44713B1ConvencionalResidencialResidencialNão se aplicaNão se aplicaPonta",Mercado_Receita!$L$2:$L$241)+SUMIF(Mercado_Receita!$S$2:$S$241,"44713B1ConvencionalResidencialResidencialNão se aplicaNão se aplicaFora ponta",Mercado_Receita!$L$2:$L$241)+SUMIF(Mercado_Receita!$S$2:$S$241,"44713B1ConvencionalResidencialResidencialNão se aplicaNão se aplicaIntermediário",Mercado_Receita!$L$2:$L$241)+SUMIF(Mercado_Receita!$S$2:$S$241,"44713B1ConvencionalResidencialResidencialNão se aplicaNão se aplicaNão se aplica",Mercado_Receita!$L$2:$L$241)</f>
        <v>923.24800000000005</v>
      </c>
      <c r="U17" s="13">
        <f t="shared" si="0"/>
        <v>11826.234</v>
      </c>
      <c r="V17" s="13"/>
      <c r="W17" s="13"/>
    </row>
    <row r="18" spans="1:23" ht="11.25" customHeight="1" x14ac:dyDescent="0.25">
      <c r="A18" s="88"/>
      <c r="B18" s="88"/>
      <c r="C18" s="88"/>
      <c r="D18" s="12" t="s">
        <v>29</v>
      </c>
      <c r="E18" s="12" t="s">
        <v>25</v>
      </c>
      <c r="F18" s="12" t="s">
        <v>25</v>
      </c>
      <c r="G18" s="13" t="s">
        <v>70</v>
      </c>
      <c r="H18" s="13" t="s">
        <v>66</v>
      </c>
      <c r="I18" s="13">
        <f>SUMIF(Mercado_Receita!$S$2:$S$241,"44378B1ConvencionalResidencialResidencial baixa renda – faixa 01Não se aplicaNão se aplicaPonta",Mercado_Receita!$L$2:$L$241)+SUMIF(Mercado_Receita!$S$2:$S$241,"44378B1ConvencionalResidencialResidencial baixa renda – faixa 01Não se aplicaNão se aplicaFora ponta",Mercado_Receita!$L$2:$L$241)+SUMIF(Mercado_Receita!$S$2:$S$241,"44378B1ConvencionalResidencialResidencial baixa renda – faixa 01Não se aplicaNão se aplicaIntermediário",Mercado_Receita!$L$2:$L$241)+SUMIF(Mercado_Receita!$S$2:$S$241,"44378B1ConvencionalResidencialResidencial baixa renda – faixa 01Não se aplicaNão se aplicaNão se aplica",Mercado_Receita!$L$2:$L$241)</f>
        <v>3.75</v>
      </c>
      <c r="J18" s="13">
        <f>SUMIF(Mercado_Receita!$S$2:$S$241,"44409B1ConvencionalResidencialResidencial baixa renda – faixa 01Não se aplicaNão se aplicaPonta",Mercado_Receita!$L$2:$L$241)+SUMIF(Mercado_Receita!$S$2:$S$241,"44409B1ConvencionalResidencialResidencial baixa renda – faixa 01Não se aplicaNão se aplicaFora ponta",Mercado_Receita!$L$2:$L$241)+SUMIF(Mercado_Receita!$S$2:$S$241,"44409B1ConvencionalResidencialResidencial baixa renda – faixa 01Não se aplicaNão se aplicaIntermediário",Mercado_Receita!$L$2:$L$241)+SUMIF(Mercado_Receita!$S$2:$S$241,"44409B1ConvencionalResidencialResidencial baixa renda – faixa 01Não se aplicaNão se aplicaNão se aplica",Mercado_Receita!$L$2:$L$241)</f>
        <v>3.9</v>
      </c>
      <c r="K18" s="13">
        <f>SUMIF(Mercado_Receita!$S$2:$S$241,"44440B1ConvencionalResidencialResidencial baixa renda – faixa 01Não se aplicaNão se aplicaPonta",Mercado_Receita!$L$2:$L$241)+SUMIF(Mercado_Receita!$S$2:$S$241,"44440B1ConvencionalResidencialResidencial baixa renda – faixa 01Não se aplicaNão se aplicaFora ponta",Mercado_Receita!$L$2:$L$241)+SUMIF(Mercado_Receita!$S$2:$S$241,"44440B1ConvencionalResidencialResidencial baixa renda – faixa 01Não se aplicaNão se aplicaIntermediário",Mercado_Receita!$L$2:$L$241)+SUMIF(Mercado_Receita!$S$2:$S$241,"44440B1ConvencionalResidencialResidencial baixa renda – faixa 01Não se aplicaNão se aplicaNão se aplica",Mercado_Receita!$L$2:$L$241)</f>
        <v>3.78</v>
      </c>
      <c r="L18" s="13">
        <f>SUMIF(Mercado_Receita!$S$2:$S$241,"44470B1ConvencionalResidencialResidencial baixa renda – faixa 01Não se aplicaNão se aplicaPonta",Mercado_Receita!$L$2:$L$241)+SUMIF(Mercado_Receita!$S$2:$S$241,"44470B1ConvencionalResidencialResidencial baixa renda – faixa 01Não se aplicaNão se aplicaFora ponta",Mercado_Receita!$L$2:$L$241)+SUMIF(Mercado_Receita!$S$2:$S$241,"44470B1ConvencionalResidencialResidencial baixa renda – faixa 01Não se aplicaNão se aplicaIntermediário",Mercado_Receita!$L$2:$L$241)+SUMIF(Mercado_Receita!$S$2:$S$241,"44470B1ConvencionalResidencialResidencial baixa renda – faixa 01Não se aplicaNão se aplicaNão se aplica",Mercado_Receita!$L$2:$L$241)</f>
        <v>4.0199999999999996</v>
      </c>
      <c r="M18" s="13">
        <f>SUMIF(Mercado_Receita!$S$2:$S$241,"44501B1ConvencionalResidencialResidencial baixa renda – faixa 01Não se aplicaNão se aplicaPonta",Mercado_Receita!$L$2:$L$241)+SUMIF(Mercado_Receita!$S$2:$S$241,"44501B1ConvencionalResidencialResidencial baixa renda – faixa 01Não se aplicaNão se aplicaFora ponta",Mercado_Receita!$L$2:$L$241)+SUMIF(Mercado_Receita!$S$2:$S$241,"44501B1ConvencionalResidencialResidencial baixa renda – faixa 01Não se aplicaNão se aplicaIntermediário",Mercado_Receita!$L$2:$L$241)+SUMIF(Mercado_Receita!$S$2:$S$241,"44501B1ConvencionalResidencialResidencial baixa renda – faixa 01Não se aplicaNão se aplicaNão se aplica",Mercado_Receita!$L$2:$L$241)</f>
        <v>4.41</v>
      </c>
      <c r="N18" s="13">
        <f>SUMIF(Mercado_Receita!$S$2:$S$241,"44531B1ConvencionalResidencialResidencial baixa renda – faixa 01Não se aplicaNão se aplicaPonta",Mercado_Receita!$L$2:$L$241)+SUMIF(Mercado_Receita!$S$2:$S$241,"44531B1ConvencionalResidencialResidencial baixa renda – faixa 01Não se aplicaNão se aplicaFora ponta",Mercado_Receita!$L$2:$L$241)+SUMIF(Mercado_Receita!$S$2:$S$241,"44531B1ConvencionalResidencialResidencial baixa renda – faixa 01Não se aplicaNão se aplicaIntermediário",Mercado_Receita!$L$2:$L$241)+SUMIF(Mercado_Receita!$S$2:$S$241,"44531B1ConvencionalResidencialResidencial baixa renda – faixa 01Não se aplicaNão se aplicaNão se aplica",Mercado_Receita!$L$2:$L$241)</f>
        <v>4.53</v>
      </c>
      <c r="O18" s="13">
        <f>SUMIF(Mercado_Receita!$S$2:$S$241,"44562B1ConvencionalResidencialResidencial baixa renda – faixa 01Não se aplicaNão se aplicaPonta",Mercado_Receita!$L$2:$L$241)+SUMIF(Mercado_Receita!$S$2:$S$241,"44562B1ConvencionalResidencialResidencial baixa renda – faixa 01Não se aplicaNão se aplicaFora ponta",Mercado_Receita!$L$2:$L$241)+SUMIF(Mercado_Receita!$S$2:$S$241,"44562B1ConvencionalResidencialResidencial baixa renda – faixa 01Não se aplicaNão se aplicaIntermediário",Mercado_Receita!$L$2:$L$241)+SUMIF(Mercado_Receita!$S$2:$S$241,"44562B1ConvencionalResidencialResidencial baixa renda – faixa 01Não se aplicaNão se aplicaNão se aplica",Mercado_Receita!$L$2:$L$241)</f>
        <v>4.68</v>
      </c>
      <c r="P18" s="13">
        <f>SUMIF(Mercado_Receita!$S$2:$S$241,"44593B1ConvencionalResidencialResidencial baixa renda – faixa 01Não se aplicaNão se aplicaPonta",Mercado_Receita!$L$2:$L$241)+SUMIF(Mercado_Receita!$S$2:$S$241,"44593B1ConvencionalResidencialResidencial baixa renda – faixa 01Não se aplicaNão se aplicaFora ponta",Mercado_Receita!$L$2:$L$241)+SUMIF(Mercado_Receita!$S$2:$S$241,"44593B1ConvencionalResidencialResidencial baixa renda – faixa 01Não se aplicaNão se aplicaIntermediário",Mercado_Receita!$L$2:$L$241)+SUMIF(Mercado_Receita!$S$2:$S$241,"44593B1ConvencionalResidencialResidencial baixa renda – faixa 01Não se aplicaNão se aplicaNão se aplica",Mercado_Receita!$L$2:$L$241)</f>
        <v>6.87</v>
      </c>
      <c r="Q18" s="13">
        <f>SUMIF(Mercado_Receita!$S$2:$S$241,"44621B1ConvencionalResidencialResidencial baixa renda – faixa 01Não se aplicaNão se aplicaPonta",Mercado_Receita!$L$2:$L$241)+SUMIF(Mercado_Receita!$S$2:$S$241,"44621B1ConvencionalResidencialResidencial baixa renda – faixa 01Não se aplicaNão se aplicaFora ponta",Mercado_Receita!$L$2:$L$241)+SUMIF(Mercado_Receita!$S$2:$S$241,"44621B1ConvencionalResidencialResidencial baixa renda – faixa 01Não se aplicaNão se aplicaIntermediário",Mercado_Receita!$L$2:$L$241)+SUMIF(Mercado_Receita!$S$2:$S$241,"44621B1ConvencionalResidencialResidencial baixa renda – faixa 01Não se aplicaNão se aplicaNão se aplica",Mercado_Receita!$L$2:$L$241)</f>
        <v>13.53</v>
      </c>
      <c r="R18" s="13">
        <f>SUMIF(Mercado_Receita!$S$2:$S$241,"44652B1ConvencionalResidencialResidencial baixa renda – faixa 01Não se aplicaNão se aplicaPonta",Mercado_Receita!$L$2:$L$241)+SUMIF(Mercado_Receita!$S$2:$S$241,"44652B1ConvencionalResidencialResidencial baixa renda – faixa 01Não se aplicaNão se aplicaFora ponta",Mercado_Receita!$L$2:$L$241)+SUMIF(Mercado_Receita!$S$2:$S$241,"44652B1ConvencionalResidencialResidencial baixa renda – faixa 01Não se aplicaNão se aplicaIntermediário",Mercado_Receita!$L$2:$L$241)+SUMIF(Mercado_Receita!$S$2:$S$241,"44652B1ConvencionalResidencialResidencial baixa renda – faixa 01Não se aplicaNão se aplicaNão se aplica",Mercado_Receita!$L$2:$L$241)</f>
        <v>19.29</v>
      </c>
      <c r="S18" s="13">
        <f>SUMIF(Mercado_Receita!$S$2:$S$241,"44682B1ConvencionalResidencialResidencial baixa renda – faixa 01Não se aplicaNão se aplicaPonta",Mercado_Receita!$L$2:$L$241)+SUMIF(Mercado_Receita!$S$2:$S$241,"44682B1ConvencionalResidencialResidencial baixa renda – faixa 01Não se aplicaNão se aplicaFora ponta",Mercado_Receita!$L$2:$L$241)+SUMIF(Mercado_Receita!$S$2:$S$241,"44682B1ConvencionalResidencialResidencial baixa renda – faixa 01Não se aplicaNão se aplicaIntermediário",Mercado_Receita!$L$2:$L$241)+SUMIF(Mercado_Receita!$S$2:$S$241,"44682B1ConvencionalResidencialResidencial baixa renda – faixa 01Não se aplicaNão se aplicaNão se aplica",Mercado_Receita!$L$2:$L$241)</f>
        <v>20.91</v>
      </c>
      <c r="T18" s="13">
        <f>SUMIF(Mercado_Receita!$S$2:$S$241,"44713B1ConvencionalResidencialResidencial baixa renda – faixa 01Não se aplicaNão se aplicaPonta",Mercado_Receita!$L$2:$L$241)+SUMIF(Mercado_Receita!$S$2:$S$241,"44713B1ConvencionalResidencialResidencial baixa renda – faixa 01Não se aplicaNão se aplicaFora ponta",Mercado_Receita!$L$2:$L$241)+SUMIF(Mercado_Receita!$S$2:$S$241,"44713B1ConvencionalResidencialResidencial baixa renda – faixa 01Não se aplicaNão se aplicaIntermediário",Mercado_Receita!$L$2:$L$241)+SUMIF(Mercado_Receita!$S$2:$S$241,"44713B1ConvencionalResidencialResidencial baixa renda – faixa 01Não se aplicaNão se aplicaNão se aplica",Mercado_Receita!$L$2:$L$241)</f>
        <v>21.87</v>
      </c>
      <c r="U18" s="13">
        <f t="shared" si="0"/>
        <v>111.53999999999999</v>
      </c>
      <c r="V18" s="13"/>
      <c r="W18" s="13"/>
    </row>
    <row r="19" spans="1:23" ht="11.25" customHeight="1" x14ac:dyDescent="0.25">
      <c r="A19" s="88"/>
      <c r="B19" s="88"/>
      <c r="C19" s="88"/>
      <c r="D19" s="12" t="s">
        <v>30</v>
      </c>
      <c r="E19" s="12" t="s">
        <v>25</v>
      </c>
      <c r="F19" s="12" t="s">
        <v>25</v>
      </c>
      <c r="G19" s="13" t="s">
        <v>70</v>
      </c>
      <c r="H19" s="13" t="s">
        <v>66</v>
      </c>
      <c r="I19" s="13">
        <f>SUMIF(Mercado_Receita!$S$2:$S$241,"44378B1ConvencionalResidencialResidencial baixa renda – faixa 02Não se aplicaNão se aplicaPonta",Mercado_Receita!$L$2:$L$241)+SUMIF(Mercado_Receita!$S$2:$S$241,"44378B1ConvencionalResidencialResidencial baixa renda – faixa 02Não se aplicaNão se aplicaFora ponta",Mercado_Receita!$L$2:$L$241)+SUMIF(Mercado_Receita!$S$2:$S$241,"44378B1ConvencionalResidencialResidencial baixa renda – faixa 02Não se aplicaNão se aplicaIntermediário",Mercado_Receita!$L$2:$L$241)+SUMIF(Mercado_Receita!$S$2:$S$241,"44378B1ConvencionalResidencialResidencial baixa renda – faixa 02Não se aplicaNão se aplicaNão se aplica",Mercado_Receita!$L$2:$L$241)</f>
        <v>8.2100000000000009</v>
      </c>
      <c r="J19" s="13">
        <f>SUMIF(Mercado_Receita!$S$2:$S$241,"44409B1ConvencionalResidencialResidencial baixa renda – faixa 02Não se aplicaNão se aplicaPonta",Mercado_Receita!$L$2:$L$241)+SUMIF(Mercado_Receita!$S$2:$S$241,"44409B1ConvencionalResidencialResidencial baixa renda – faixa 02Não se aplicaNão se aplicaFora ponta",Mercado_Receita!$L$2:$L$241)+SUMIF(Mercado_Receita!$S$2:$S$241,"44409B1ConvencionalResidencialResidencial baixa renda – faixa 02Não se aplicaNão se aplicaIntermediário",Mercado_Receita!$L$2:$L$241)+SUMIF(Mercado_Receita!$S$2:$S$241,"44409B1ConvencionalResidencialResidencial baixa renda – faixa 02Não se aplicaNão se aplicaNão se aplica",Mercado_Receita!$L$2:$L$241)</f>
        <v>8.6159999999999997</v>
      </c>
      <c r="K19" s="13">
        <f>SUMIF(Mercado_Receita!$S$2:$S$241,"44440B1ConvencionalResidencialResidencial baixa renda – faixa 02Não se aplicaNão se aplicaPonta",Mercado_Receita!$L$2:$L$241)+SUMIF(Mercado_Receita!$S$2:$S$241,"44440B1ConvencionalResidencialResidencial baixa renda – faixa 02Não se aplicaNão se aplicaFora ponta",Mercado_Receita!$L$2:$L$241)+SUMIF(Mercado_Receita!$S$2:$S$241,"44440B1ConvencionalResidencialResidencial baixa renda – faixa 02Não se aplicaNão se aplicaIntermediário",Mercado_Receita!$L$2:$L$241)+SUMIF(Mercado_Receita!$S$2:$S$241,"44440B1ConvencionalResidencialResidencial baixa renda – faixa 02Não se aplicaNão se aplicaNão se aplica",Mercado_Receita!$L$2:$L$241)</f>
        <v>8.3450000000000006</v>
      </c>
      <c r="L19" s="13">
        <f>SUMIF(Mercado_Receita!$S$2:$S$241,"44470B1ConvencionalResidencialResidencial baixa renda – faixa 02Não se aplicaNão se aplicaPonta",Mercado_Receita!$L$2:$L$241)+SUMIF(Mercado_Receita!$S$2:$S$241,"44470B1ConvencionalResidencialResidencial baixa renda – faixa 02Não se aplicaNão se aplicaFora ponta",Mercado_Receita!$L$2:$L$241)+SUMIF(Mercado_Receita!$S$2:$S$241,"44470B1ConvencionalResidencialResidencial baixa renda – faixa 02Não se aplicaNão se aplicaIntermediário",Mercado_Receita!$L$2:$L$241)+SUMIF(Mercado_Receita!$S$2:$S$241,"44470B1ConvencionalResidencialResidencial baixa renda – faixa 02Não se aplicaNão se aplicaNão se aplica",Mercado_Receita!$L$2:$L$241)</f>
        <v>8.9440000000000008</v>
      </c>
      <c r="M19" s="13">
        <f>SUMIF(Mercado_Receita!$S$2:$S$241,"44501B1ConvencionalResidencialResidencial baixa renda – faixa 02Não se aplicaNão se aplicaPonta",Mercado_Receita!$L$2:$L$241)+SUMIF(Mercado_Receita!$S$2:$S$241,"44501B1ConvencionalResidencialResidencial baixa renda – faixa 02Não se aplicaNão se aplicaFora ponta",Mercado_Receita!$L$2:$L$241)+SUMIF(Mercado_Receita!$S$2:$S$241,"44501B1ConvencionalResidencialResidencial baixa renda – faixa 02Não se aplicaNão se aplicaIntermediário",Mercado_Receita!$L$2:$L$241)+SUMIF(Mercado_Receita!$S$2:$S$241,"44501B1ConvencionalResidencialResidencial baixa renda – faixa 02Não se aplicaNão se aplicaNão se aplica",Mercado_Receita!$L$2:$L$241)</f>
        <v>9.7840000000000007</v>
      </c>
      <c r="N19" s="13">
        <f>SUMIF(Mercado_Receita!$S$2:$S$241,"44531B1ConvencionalResidencialResidencial baixa renda – faixa 02Não se aplicaNão se aplicaPonta",Mercado_Receita!$L$2:$L$241)+SUMIF(Mercado_Receita!$S$2:$S$241,"44531B1ConvencionalResidencialResidencial baixa renda – faixa 02Não se aplicaNão se aplicaFora ponta",Mercado_Receita!$L$2:$L$241)+SUMIF(Mercado_Receita!$S$2:$S$241,"44531B1ConvencionalResidencialResidencial baixa renda – faixa 02Não se aplicaNão se aplicaIntermediário",Mercado_Receita!$L$2:$L$241)+SUMIF(Mercado_Receita!$S$2:$S$241,"44531B1ConvencionalResidencialResidencial baixa renda – faixa 02Não se aplicaNão se aplicaNão se aplica",Mercado_Receita!$L$2:$L$241)</f>
        <v>10.077999999999999</v>
      </c>
      <c r="O19" s="13">
        <f>SUMIF(Mercado_Receita!$S$2:$S$241,"44562B1ConvencionalResidencialResidencial baixa renda – faixa 02Não se aplicaNão se aplicaPonta",Mercado_Receita!$L$2:$L$241)+SUMIF(Mercado_Receita!$S$2:$S$241,"44562B1ConvencionalResidencialResidencial baixa renda – faixa 02Não se aplicaNão se aplicaFora ponta",Mercado_Receita!$L$2:$L$241)+SUMIF(Mercado_Receita!$S$2:$S$241,"44562B1ConvencionalResidencialResidencial baixa renda – faixa 02Não se aplicaNão se aplicaIntermediário",Mercado_Receita!$L$2:$L$241)+SUMIF(Mercado_Receita!$S$2:$S$241,"44562B1ConvencionalResidencialResidencial baixa renda – faixa 02Não se aplicaNão se aplicaNão se aplica",Mercado_Receita!$L$2:$L$241)</f>
        <v>10.484999999999999</v>
      </c>
      <c r="P19" s="13">
        <f>SUMIF(Mercado_Receita!$S$2:$S$241,"44593B1ConvencionalResidencialResidencial baixa renda – faixa 02Não se aplicaNão se aplicaPonta",Mercado_Receita!$L$2:$L$241)+SUMIF(Mercado_Receita!$S$2:$S$241,"44593B1ConvencionalResidencialResidencial baixa renda – faixa 02Não se aplicaNão se aplicaFora ponta",Mercado_Receita!$L$2:$L$241)+SUMIF(Mercado_Receita!$S$2:$S$241,"44593B1ConvencionalResidencialResidencial baixa renda – faixa 02Não se aplicaNão se aplicaIntermediário",Mercado_Receita!$L$2:$L$241)+SUMIF(Mercado_Receita!$S$2:$S$241,"44593B1ConvencionalResidencialResidencial baixa renda – faixa 02Não se aplicaNão se aplicaNão se aplica",Mercado_Receita!$L$2:$L$241)</f>
        <v>14.499000000000001</v>
      </c>
      <c r="Q19" s="13">
        <f>SUMIF(Mercado_Receita!$S$2:$S$241,"44621B1ConvencionalResidencialResidencial baixa renda – faixa 02Não se aplicaNão se aplicaPonta",Mercado_Receita!$L$2:$L$241)+SUMIF(Mercado_Receita!$S$2:$S$241,"44621B1ConvencionalResidencialResidencial baixa renda – faixa 02Não se aplicaNão se aplicaFora ponta",Mercado_Receita!$L$2:$L$241)+SUMIF(Mercado_Receita!$S$2:$S$241,"44621B1ConvencionalResidencialResidencial baixa renda – faixa 02Não se aplicaNão se aplicaIntermediário",Mercado_Receita!$L$2:$L$241)+SUMIF(Mercado_Receita!$S$2:$S$241,"44621B1ConvencionalResidencialResidencial baixa renda – faixa 02Não se aplicaNão se aplicaNão se aplica",Mercado_Receita!$L$2:$L$241)</f>
        <v>26.244</v>
      </c>
      <c r="R19" s="13">
        <f>SUMIF(Mercado_Receita!$S$2:$S$241,"44652B1ConvencionalResidencialResidencial baixa renda – faixa 02Não se aplicaNão se aplicaPonta",Mercado_Receita!$L$2:$L$241)+SUMIF(Mercado_Receita!$S$2:$S$241,"44652B1ConvencionalResidencialResidencial baixa renda – faixa 02Não se aplicaNão se aplicaFora ponta",Mercado_Receita!$L$2:$L$241)+SUMIF(Mercado_Receita!$S$2:$S$241,"44652B1ConvencionalResidencialResidencial baixa renda – faixa 02Não se aplicaNão se aplicaIntermediário",Mercado_Receita!$L$2:$L$241)+SUMIF(Mercado_Receita!$S$2:$S$241,"44652B1ConvencionalResidencialResidencial baixa renda – faixa 02Não se aplicaNão se aplicaNão se aplica",Mercado_Receita!$L$2:$L$241)</f>
        <v>36.750999999999998</v>
      </c>
      <c r="S19" s="13">
        <f>SUMIF(Mercado_Receita!$S$2:$S$241,"44682B1ConvencionalResidencialResidencial baixa renda – faixa 02Não se aplicaNão se aplicaPonta",Mercado_Receita!$L$2:$L$241)+SUMIF(Mercado_Receita!$S$2:$S$241,"44682B1ConvencionalResidencialResidencial baixa renda – faixa 02Não se aplicaNão se aplicaFora ponta",Mercado_Receita!$L$2:$L$241)+SUMIF(Mercado_Receita!$S$2:$S$241,"44682B1ConvencionalResidencialResidencial baixa renda – faixa 02Não se aplicaNão se aplicaIntermediário",Mercado_Receita!$L$2:$L$241)+SUMIF(Mercado_Receita!$S$2:$S$241,"44682B1ConvencionalResidencialResidencial baixa renda – faixa 02Não se aplicaNão se aplicaNão se aplica",Mercado_Receita!$L$2:$L$241)</f>
        <v>38.4</v>
      </c>
      <c r="T19" s="13">
        <f>SUMIF(Mercado_Receita!$S$2:$S$241,"44713B1ConvencionalResidencialResidencial baixa renda – faixa 02Não se aplicaNão se aplicaPonta",Mercado_Receita!$L$2:$L$241)+SUMIF(Mercado_Receita!$S$2:$S$241,"44713B1ConvencionalResidencialResidencial baixa renda – faixa 02Não se aplicaNão se aplicaFora ponta",Mercado_Receita!$L$2:$L$241)+SUMIF(Mercado_Receita!$S$2:$S$241,"44713B1ConvencionalResidencialResidencial baixa renda – faixa 02Não se aplicaNão se aplicaIntermediário",Mercado_Receita!$L$2:$L$241)+SUMIF(Mercado_Receita!$S$2:$S$241,"44713B1ConvencionalResidencialResidencial baixa renda – faixa 02Não se aplicaNão se aplicaNão se aplica",Mercado_Receita!$L$2:$L$241)</f>
        <v>40.319000000000003</v>
      </c>
      <c r="U19" s="13">
        <f t="shared" si="0"/>
        <v>220.67500000000001</v>
      </c>
      <c r="V19" s="13"/>
      <c r="W19" s="13"/>
    </row>
    <row r="20" spans="1:23" ht="11.25" customHeight="1" x14ac:dyDescent="0.25">
      <c r="A20" s="88"/>
      <c r="B20" s="88"/>
      <c r="C20" s="88"/>
      <c r="D20" s="12" t="s">
        <v>31</v>
      </c>
      <c r="E20" s="12" t="s">
        <v>25</v>
      </c>
      <c r="F20" s="12" t="s">
        <v>25</v>
      </c>
      <c r="G20" s="13" t="s">
        <v>70</v>
      </c>
      <c r="H20" s="13" t="s">
        <v>66</v>
      </c>
      <c r="I20" s="13">
        <f>SUMIF(Mercado_Receita!$S$2:$S$241,"44378B1ConvencionalResidencialResidencial baixa renda – faixa 03Não se aplicaNão se aplicaPonta",Mercado_Receita!$L$2:$L$241)+SUMIF(Mercado_Receita!$S$2:$S$241,"44378B1ConvencionalResidencialResidencial baixa renda – faixa 03Não se aplicaNão se aplicaFora ponta",Mercado_Receita!$L$2:$L$241)+SUMIF(Mercado_Receita!$S$2:$S$241,"44378B1ConvencionalResidencialResidencial baixa renda – faixa 03Não se aplicaNão se aplicaIntermediário",Mercado_Receita!$L$2:$L$241)+SUMIF(Mercado_Receita!$S$2:$S$241,"44378B1ConvencionalResidencialResidencial baixa renda – faixa 03Não se aplicaNão se aplicaNão se aplica",Mercado_Receita!$L$2:$L$241)</f>
        <v>8.4429999999999996</v>
      </c>
      <c r="J20" s="13">
        <f>SUMIF(Mercado_Receita!$S$2:$S$241,"44409B1ConvencionalResidencialResidencial baixa renda – faixa 03Não se aplicaNão se aplicaPonta",Mercado_Receita!$L$2:$L$241)+SUMIF(Mercado_Receita!$S$2:$S$241,"44409B1ConvencionalResidencialResidencial baixa renda – faixa 03Não se aplicaNão se aplicaFora ponta",Mercado_Receita!$L$2:$L$241)+SUMIF(Mercado_Receita!$S$2:$S$241,"44409B1ConvencionalResidencialResidencial baixa renda – faixa 03Não se aplicaNão se aplicaIntermediário",Mercado_Receita!$L$2:$L$241)+SUMIF(Mercado_Receita!$S$2:$S$241,"44409B1ConvencionalResidencialResidencial baixa renda – faixa 03Não se aplicaNão se aplicaNão se aplica",Mercado_Receita!$L$2:$L$241)</f>
        <v>9.3889999999999993</v>
      </c>
      <c r="K20" s="13">
        <f>SUMIF(Mercado_Receita!$S$2:$S$241,"44440B1ConvencionalResidencialResidencial baixa renda – faixa 03Não se aplicaNão se aplicaPonta",Mercado_Receita!$L$2:$L$241)+SUMIF(Mercado_Receita!$S$2:$S$241,"44440B1ConvencionalResidencialResidencial baixa renda – faixa 03Não se aplicaNão se aplicaFora ponta",Mercado_Receita!$L$2:$L$241)+SUMIF(Mercado_Receita!$S$2:$S$241,"44440B1ConvencionalResidencialResidencial baixa renda – faixa 03Não se aplicaNão se aplicaIntermediário",Mercado_Receita!$L$2:$L$241)+SUMIF(Mercado_Receita!$S$2:$S$241,"44440B1ConvencionalResidencialResidencial baixa renda – faixa 03Não se aplicaNão se aplicaNão se aplica",Mercado_Receita!$L$2:$L$241)</f>
        <v>8.8919999999999995</v>
      </c>
      <c r="L20" s="13">
        <f>SUMIF(Mercado_Receita!$S$2:$S$241,"44470B1ConvencionalResidencialResidencial baixa renda – faixa 03Não se aplicaNão se aplicaPonta",Mercado_Receita!$L$2:$L$241)+SUMIF(Mercado_Receita!$S$2:$S$241,"44470B1ConvencionalResidencialResidencial baixa renda – faixa 03Não se aplicaNão se aplicaFora ponta",Mercado_Receita!$L$2:$L$241)+SUMIF(Mercado_Receita!$S$2:$S$241,"44470B1ConvencionalResidencialResidencial baixa renda – faixa 03Não se aplicaNão se aplicaIntermediário",Mercado_Receita!$L$2:$L$241)+SUMIF(Mercado_Receita!$S$2:$S$241,"44470B1ConvencionalResidencialResidencial baixa renda – faixa 03Não se aplicaNão se aplicaNão se aplica",Mercado_Receita!$L$2:$L$241)</f>
        <v>10.034000000000001</v>
      </c>
      <c r="M20" s="13">
        <f>SUMIF(Mercado_Receita!$S$2:$S$241,"44501B1ConvencionalResidencialResidencial baixa renda – faixa 03Não se aplicaNão se aplicaPonta",Mercado_Receita!$L$2:$L$241)+SUMIF(Mercado_Receita!$S$2:$S$241,"44501B1ConvencionalResidencialResidencial baixa renda – faixa 03Não se aplicaNão se aplicaFora ponta",Mercado_Receita!$L$2:$L$241)+SUMIF(Mercado_Receita!$S$2:$S$241,"44501B1ConvencionalResidencialResidencial baixa renda – faixa 03Não se aplicaNão se aplicaIntermediário",Mercado_Receita!$L$2:$L$241)+SUMIF(Mercado_Receita!$S$2:$S$241,"44501B1ConvencionalResidencialResidencial baixa renda – faixa 03Não se aplicaNão se aplicaNão se aplica",Mercado_Receita!$L$2:$L$241)</f>
        <v>10.375999999999999</v>
      </c>
      <c r="N20" s="13">
        <f>SUMIF(Mercado_Receita!$S$2:$S$241,"44531B1ConvencionalResidencialResidencial baixa renda – faixa 03Não se aplicaNão se aplicaPonta",Mercado_Receita!$L$2:$L$241)+SUMIF(Mercado_Receita!$S$2:$S$241,"44531B1ConvencionalResidencialResidencial baixa renda – faixa 03Não se aplicaNão se aplicaFora ponta",Mercado_Receita!$L$2:$L$241)+SUMIF(Mercado_Receita!$S$2:$S$241,"44531B1ConvencionalResidencialResidencial baixa renda – faixa 03Não se aplicaNão se aplicaIntermediário",Mercado_Receita!$L$2:$L$241)+SUMIF(Mercado_Receita!$S$2:$S$241,"44531B1ConvencionalResidencialResidencial baixa renda – faixa 03Não se aplicaNão se aplicaNão se aplica",Mercado_Receita!$L$2:$L$241)</f>
        <v>9.7309999999999999</v>
      </c>
      <c r="O20" s="13">
        <f>SUMIF(Mercado_Receita!$S$2:$S$241,"44562B1ConvencionalResidencialResidencial baixa renda – faixa 03Não se aplicaNão se aplicaPonta",Mercado_Receita!$L$2:$L$241)+SUMIF(Mercado_Receita!$S$2:$S$241,"44562B1ConvencionalResidencialResidencial baixa renda – faixa 03Não se aplicaNão se aplicaFora ponta",Mercado_Receita!$L$2:$L$241)+SUMIF(Mercado_Receita!$S$2:$S$241,"44562B1ConvencionalResidencialResidencial baixa renda – faixa 03Não se aplicaNão se aplicaIntermediário",Mercado_Receita!$L$2:$L$241)+SUMIF(Mercado_Receita!$S$2:$S$241,"44562B1ConvencionalResidencialResidencial baixa renda – faixa 03Não se aplicaNão se aplicaNão se aplica",Mercado_Receita!$L$2:$L$241)</f>
        <v>11.621</v>
      </c>
      <c r="P20" s="13">
        <f>SUMIF(Mercado_Receita!$S$2:$S$241,"44593B1ConvencionalResidencialResidencial baixa renda – faixa 03Não se aplicaNão se aplicaPonta",Mercado_Receita!$L$2:$L$241)+SUMIF(Mercado_Receita!$S$2:$S$241,"44593B1ConvencionalResidencialResidencial baixa renda – faixa 03Não se aplicaNão se aplicaFora ponta",Mercado_Receita!$L$2:$L$241)+SUMIF(Mercado_Receita!$S$2:$S$241,"44593B1ConvencionalResidencialResidencial baixa renda – faixa 03Não se aplicaNão se aplicaIntermediário",Mercado_Receita!$L$2:$L$241)+SUMIF(Mercado_Receita!$S$2:$S$241,"44593B1ConvencionalResidencialResidencial baixa renda – faixa 03Não se aplicaNão se aplicaNão se aplica",Mercado_Receita!$L$2:$L$241)</f>
        <v>13.962</v>
      </c>
      <c r="Q20" s="13">
        <f>SUMIF(Mercado_Receita!$S$2:$S$241,"44621B1ConvencionalResidencialResidencial baixa renda – faixa 03Não se aplicaNão se aplicaPonta",Mercado_Receita!$L$2:$L$241)+SUMIF(Mercado_Receita!$S$2:$S$241,"44621B1ConvencionalResidencialResidencial baixa renda – faixa 03Não se aplicaNão se aplicaFora ponta",Mercado_Receita!$L$2:$L$241)+SUMIF(Mercado_Receita!$S$2:$S$241,"44621B1ConvencionalResidencialResidencial baixa renda – faixa 03Não se aplicaNão se aplicaIntermediário",Mercado_Receita!$L$2:$L$241)+SUMIF(Mercado_Receita!$S$2:$S$241,"44621B1ConvencionalResidencialResidencial baixa renda – faixa 03Não se aplicaNão se aplicaNão se aplica",Mercado_Receita!$L$2:$L$241)</f>
        <v>21.436</v>
      </c>
      <c r="R20" s="13">
        <f>SUMIF(Mercado_Receita!$S$2:$S$241,"44652B1ConvencionalResidencialResidencial baixa renda – faixa 03Não se aplicaNão se aplicaPonta",Mercado_Receita!$L$2:$L$241)+SUMIF(Mercado_Receita!$S$2:$S$241,"44652B1ConvencionalResidencialResidencial baixa renda – faixa 03Não se aplicaNão se aplicaFora ponta",Mercado_Receita!$L$2:$L$241)+SUMIF(Mercado_Receita!$S$2:$S$241,"44652B1ConvencionalResidencialResidencial baixa renda – faixa 03Não se aplicaNão se aplicaIntermediário",Mercado_Receita!$L$2:$L$241)+SUMIF(Mercado_Receita!$S$2:$S$241,"44652B1ConvencionalResidencialResidencial baixa renda – faixa 03Não se aplicaNão se aplicaNão se aplica",Mercado_Receita!$L$2:$L$241)</f>
        <v>33.137999999999998</v>
      </c>
      <c r="S20" s="13">
        <f>SUMIF(Mercado_Receita!$S$2:$S$241,"44682B1ConvencionalResidencialResidencial baixa renda – faixa 03Não se aplicaNão se aplicaPonta",Mercado_Receita!$L$2:$L$241)+SUMIF(Mercado_Receita!$S$2:$S$241,"44682B1ConvencionalResidencialResidencial baixa renda – faixa 03Não se aplicaNão se aplicaFora ponta",Mercado_Receita!$L$2:$L$241)+SUMIF(Mercado_Receita!$S$2:$S$241,"44682B1ConvencionalResidencialResidencial baixa renda – faixa 03Não se aplicaNão se aplicaIntermediário",Mercado_Receita!$L$2:$L$241)+SUMIF(Mercado_Receita!$S$2:$S$241,"44682B1ConvencionalResidencialResidencial baixa renda – faixa 03Não se aplicaNão se aplicaNão se aplica",Mercado_Receita!$L$2:$L$241)</f>
        <v>32.121000000000002</v>
      </c>
      <c r="T20" s="13">
        <f>SUMIF(Mercado_Receita!$S$2:$S$241,"44713B1ConvencionalResidencialResidencial baixa renda – faixa 03Não se aplicaNão se aplicaPonta",Mercado_Receita!$L$2:$L$241)+SUMIF(Mercado_Receita!$S$2:$S$241,"44713B1ConvencionalResidencialResidencial baixa renda – faixa 03Não se aplicaNão se aplicaFora ponta",Mercado_Receita!$L$2:$L$241)+SUMIF(Mercado_Receita!$S$2:$S$241,"44713B1ConvencionalResidencialResidencial baixa renda – faixa 03Não se aplicaNão se aplicaIntermediário",Mercado_Receita!$L$2:$L$241)+SUMIF(Mercado_Receita!$S$2:$S$241,"44713B1ConvencionalResidencialResidencial baixa renda – faixa 03Não se aplicaNão se aplicaNão se aplica",Mercado_Receita!$L$2:$L$241)</f>
        <v>36.084000000000003</v>
      </c>
      <c r="U20" s="13">
        <f t="shared" si="0"/>
        <v>205.22700000000003</v>
      </c>
      <c r="V20" s="13"/>
      <c r="W20" s="13"/>
    </row>
    <row r="21" spans="1:23" ht="11.25" customHeight="1" x14ac:dyDescent="0.25">
      <c r="A21" s="88"/>
      <c r="B21" s="88"/>
      <c r="C21" s="88"/>
      <c r="D21" s="12" t="s">
        <v>32</v>
      </c>
      <c r="E21" s="12" t="s">
        <v>25</v>
      </c>
      <c r="F21" s="12" t="s">
        <v>25</v>
      </c>
      <c r="G21" s="13" t="s">
        <v>70</v>
      </c>
      <c r="H21" s="13" t="s">
        <v>66</v>
      </c>
      <c r="I21" s="13">
        <f>SUMIF(Mercado_Receita!$S$2:$S$241,"44378B1ConvencionalResidencialResidencial baixa renda – faixa 04Não se aplicaNão se aplicaPonta",Mercado_Receita!$L$2:$L$241)+SUMIF(Mercado_Receita!$S$2:$S$241,"44378B1ConvencionalResidencialResidencial baixa renda – faixa 04Não se aplicaNão se aplicaFora ponta",Mercado_Receita!$L$2:$L$241)+SUMIF(Mercado_Receita!$S$2:$S$241,"44378B1ConvencionalResidencialResidencial baixa renda – faixa 04Não se aplicaNão se aplicaIntermediário",Mercado_Receita!$L$2:$L$241)+SUMIF(Mercado_Receita!$S$2:$S$241,"44378B1ConvencionalResidencialResidencial baixa renda – faixa 04Não se aplicaNão se aplicaNão se aplica",Mercado_Receita!$L$2:$L$241)</f>
        <v>2.835</v>
      </c>
      <c r="J21" s="13">
        <f>SUMIF(Mercado_Receita!$S$2:$S$241,"44409B1ConvencionalResidencialResidencial baixa renda – faixa 04Não se aplicaNão se aplicaPonta",Mercado_Receita!$L$2:$L$241)+SUMIF(Mercado_Receita!$S$2:$S$241,"44409B1ConvencionalResidencialResidencial baixa renda – faixa 04Não se aplicaNão se aplicaFora ponta",Mercado_Receita!$L$2:$L$241)+SUMIF(Mercado_Receita!$S$2:$S$241,"44409B1ConvencionalResidencialResidencial baixa renda – faixa 04Não se aplicaNão se aplicaIntermediário",Mercado_Receita!$L$2:$L$241)+SUMIF(Mercado_Receita!$S$2:$S$241,"44409B1ConvencionalResidencialResidencial baixa renda – faixa 04Não se aplicaNão se aplicaNão se aplica",Mercado_Receita!$L$2:$L$241)</f>
        <v>3.5529999999999999</v>
      </c>
      <c r="K21" s="13">
        <f>SUMIF(Mercado_Receita!$S$2:$S$241,"44440B1ConvencionalResidencialResidencial baixa renda – faixa 04Não se aplicaNão se aplicaPonta",Mercado_Receita!$L$2:$L$241)+SUMIF(Mercado_Receita!$S$2:$S$241,"44440B1ConvencionalResidencialResidencial baixa renda – faixa 04Não se aplicaNão se aplicaFora ponta",Mercado_Receita!$L$2:$L$241)+SUMIF(Mercado_Receita!$S$2:$S$241,"44440B1ConvencionalResidencialResidencial baixa renda – faixa 04Não se aplicaNão se aplicaIntermediário",Mercado_Receita!$L$2:$L$241)+SUMIF(Mercado_Receita!$S$2:$S$241,"44440B1ConvencionalResidencialResidencial baixa renda – faixa 04Não se aplicaNão se aplicaNão se aplica",Mercado_Receita!$L$2:$L$241)</f>
        <v>2.9350000000000001</v>
      </c>
      <c r="L21" s="13">
        <f>SUMIF(Mercado_Receita!$S$2:$S$241,"44470B1ConvencionalResidencialResidencial baixa renda – faixa 04Não se aplicaNão se aplicaPonta",Mercado_Receita!$L$2:$L$241)+SUMIF(Mercado_Receita!$S$2:$S$241,"44470B1ConvencionalResidencialResidencial baixa renda – faixa 04Não se aplicaNão se aplicaFora ponta",Mercado_Receita!$L$2:$L$241)+SUMIF(Mercado_Receita!$S$2:$S$241,"44470B1ConvencionalResidencialResidencial baixa renda – faixa 04Não se aplicaNão se aplicaIntermediário",Mercado_Receita!$L$2:$L$241)+SUMIF(Mercado_Receita!$S$2:$S$241,"44470B1ConvencionalResidencialResidencial baixa renda – faixa 04Não se aplicaNão se aplicaNão se aplica",Mercado_Receita!$L$2:$L$241)</f>
        <v>3.6389999999999998</v>
      </c>
      <c r="M21" s="13">
        <f>SUMIF(Mercado_Receita!$S$2:$S$241,"44501B1ConvencionalResidencialResidencial baixa renda – faixa 04Não se aplicaNão se aplicaPonta",Mercado_Receita!$L$2:$L$241)+SUMIF(Mercado_Receita!$S$2:$S$241,"44501B1ConvencionalResidencialResidencial baixa renda – faixa 04Não se aplicaNão se aplicaFora ponta",Mercado_Receita!$L$2:$L$241)+SUMIF(Mercado_Receita!$S$2:$S$241,"44501B1ConvencionalResidencialResidencial baixa renda – faixa 04Não se aplicaNão se aplicaIntermediário",Mercado_Receita!$L$2:$L$241)+SUMIF(Mercado_Receita!$S$2:$S$241,"44501B1ConvencionalResidencialResidencial baixa renda – faixa 04Não se aplicaNão se aplicaNão se aplica",Mercado_Receita!$L$2:$L$241)</f>
        <v>3.077</v>
      </c>
      <c r="N21" s="13">
        <f>SUMIF(Mercado_Receita!$S$2:$S$241,"44531B1ConvencionalResidencialResidencial baixa renda – faixa 04Não se aplicaNão se aplicaPonta",Mercado_Receita!$L$2:$L$241)+SUMIF(Mercado_Receita!$S$2:$S$241,"44531B1ConvencionalResidencialResidencial baixa renda – faixa 04Não se aplicaNão se aplicaFora ponta",Mercado_Receita!$L$2:$L$241)+SUMIF(Mercado_Receita!$S$2:$S$241,"44531B1ConvencionalResidencialResidencial baixa renda – faixa 04Não se aplicaNão se aplicaIntermediário",Mercado_Receita!$L$2:$L$241)+SUMIF(Mercado_Receita!$S$2:$S$241,"44531B1ConvencionalResidencialResidencial baixa renda – faixa 04Não se aplicaNão se aplicaNão se aplica",Mercado_Receita!$L$2:$L$241)</f>
        <v>2.1669999999999998</v>
      </c>
      <c r="O21" s="13">
        <f>SUMIF(Mercado_Receita!$S$2:$S$241,"44562B1ConvencionalResidencialResidencial baixa renda – faixa 04Não se aplicaNão se aplicaPonta",Mercado_Receita!$L$2:$L$241)+SUMIF(Mercado_Receita!$S$2:$S$241,"44562B1ConvencionalResidencialResidencial baixa renda – faixa 04Não se aplicaNão se aplicaFora ponta",Mercado_Receita!$L$2:$L$241)+SUMIF(Mercado_Receita!$S$2:$S$241,"44562B1ConvencionalResidencialResidencial baixa renda – faixa 04Não se aplicaNão se aplicaIntermediário",Mercado_Receita!$L$2:$L$241)+SUMIF(Mercado_Receita!$S$2:$S$241,"44562B1ConvencionalResidencialResidencial baixa renda – faixa 04Não se aplicaNão se aplicaNão se aplica",Mercado_Receita!$L$2:$L$241)</f>
        <v>3.65</v>
      </c>
      <c r="P21" s="13">
        <f>SUMIF(Mercado_Receita!$S$2:$S$241,"44593B1ConvencionalResidencialResidencial baixa renda – faixa 04Não se aplicaNão se aplicaPonta",Mercado_Receita!$L$2:$L$241)+SUMIF(Mercado_Receita!$S$2:$S$241,"44593B1ConvencionalResidencialResidencial baixa renda – faixa 04Não se aplicaNão se aplicaFora ponta",Mercado_Receita!$L$2:$L$241)+SUMIF(Mercado_Receita!$S$2:$S$241,"44593B1ConvencionalResidencialResidencial baixa renda – faixa 04Não se aplicaNão se aplicaIntermediário",Mercado_Receita!$L$2:$L$241)+SUMIF(Mercado_Receita!$S$2:$S$241,"44593B1ConvencionalResidencialResidencial baixa renda – faixa 04Não se aplicaNão se aplicaNão se aplica",Mercado_Receita!$L$2:$L$241)</f>
        <v>5.1289999999999996</v>
      </c>
      <c r="Q21" s="13">
        <f>SUMIF(Mercado_Receita!$S$2:$S$241,"44621B1ConvencionalResidencialResidencial baixa renda – faixa 04Não se aplicaNão se aplicaPonta",Mercado_Receita!$L$2:$L$241)+SUMIF(Mercado_Receita!$S$2:$S$241,"44621B1ConvencionalResidencialResidencial baixa renda – faixa 04Não se aplicaNão se aplicaFora ponta",Mercado_Receita!$L$2:$L$241)+SUMIF(Mercado_Receita!$S$2:$S$241,"44621B1ConvencionalResidencialResidencial baixa renda – faixa 04Não se aplicaNão se aplicaIntermediário",Mercado_Receita!$L$2:$L$241)+SUMIF(Mercado_Receita!$S$2:$S$241,"44621B1ConvencionalResidencialResidencial baixa renda – faixa 04Não se aplicaNão se aplicaNão se aplica",Mercado_Receita!$L$2:$L$241)</f>
        <v>7.258</v>
      </c>
      <c r="R21" s="13">
        <f>SUMIF(Mercado_Receita!$S$2:$S$241,"44652B1ConvencionalResidencialResidencial baixa renda – faixa 04Não se aplicaNão se aplicaPonta",Mercado_Receita!$L$2:$L$241)+SUMIF(Mercado_Receita!$S$2:$S$241,"44652B1ConvencionalResidencialResidencial baixa renda – faixa 04Não se aplicaNão se aplicaFora ponta",Mercado_Receita!$L$2:$L$241)+SUMIF(Mercado_Receita!$S$2:$S$241,"44652B1ConvencionalResidencialResidencial baixa renda – faixa 04Não se aplicaNão se aplicaIntermediário",Mercado_Receita!$L$2:$L$241)+SUMIF(Mercado_Receita!$S$2:$S$241,"44652B1ConvencionalResidencialResidencial baixa renda – faixa 04Não se aplicaNão se aplicaNão se aplica",Mercado_Receita!$L$2:$L$241)</f>
        <v>13.558</v>
      </c>
      <c r="S21" s="13">
        <f>SUMIF(Mercado_Receita!$S$2:$S$241,"44682B1ConvencionalResidencialResidencial baixa renda – faixa 04Não se aplicaNão se aplicaPonta",Mercado_Receita!$L$2:$L$241)+SUMIF(Mercado_Receita!$S$2:$S$241,"44682B1ConvencionalResidencialResidencial baixa renda – faixa 04Não se aplicaNão se aplicaFora ponta",Mercado_Receita!$L$2:$L$241)+SUMIF(Mercado_Receita!$S$2:$S$241,"44682B1ConvencionalResidencialResidencial baixa renda – faixa 04Não se aplicaNão se aplicaIntermediário",Mercado_Receita!$L$2:$L$241)+SUMIF(Mercado_Receita!$S$2:$S$241,"44682B1ConvencionalResidencialResidencial baixa renda – faixa 04Não se aplicaNão se aplicaNão se aplica",Mercado_Receita!$L$2:$L$241)</f>
        <v>12.082000000000001</v>
      </c>
      <c r="T21" s="13">
        <f>SUMIF(Mercado_Receita!$S$2:$S$241,"44713B1ConvencionalResidencialResidencial baixa renda – faixa 04Não se aplicaNão se aplicaPonta",Mercado_Receita!$L$2:$L$241)+SUMIF(Mercado_Receita!$S$2:$S$241,"44713B1ConvencionalResidencialResidencial baixa renda – faixa 04Não se aplicaNão se aplicaFora ponta",Mercado_Receita!$L$2:$L$241)+SUMIF(Mercado_Receita!$S$2:$S$241,"44713B1ConvencionalResidencialResidencial baixa renda – faixa 04Não se aplicaNão se aplicaIntermediário",Mercado_Receita!$L$2:$L$241)+SUMIF(Mercado_Receita!$S$2:$S$241,"44713B1ConvencionalResidencialResidencial baixa renda – faixa 04Não se aplicaNão se aplicaNão se aplica",Mercado_Receita!$L$2:$L$241)</f>
        <v>15.427</v>
      </c>
      <c r="U21" s="13">
        <f t="shared" si="0"/>
        <v>75.31</v>
      </c>
      <c r="V21" s="13"/>
      <c r="W21" s="13"/>
    </row>
    <row r="22" spans="1:23" ht="11.25" customHeight="1" x14ac:dyDescent="0.25">
      <c r="A22" s="88"/>
      <c r="B22" s="87" t="s">
        <v>82</v>
      </c>
      <c r="C22" s="87" t="s">
        <v>24</v>
      </c>
      <c r="D22" s="12" t="s">
        <v>24</v>
      </c>
      <c r="E22" s="12" t="s">
        <v>25</v>
      </c>
      <c r="F22" s="12" t="s">
        <v>25</v>
      </c>
      <c r="G22" s="13" t="s">
        <v>70</v>
      </c>
      <c r="H22" s="13" t="s">
        <v>66</v>
      </c>
      <c r="I22" s="13">
        <f>SUMIF(Mercado_Receita!$S$2:$S$241,"44378B1Convencional pré-pagamentoResidencialResidencialNão se aplicaNão se aplicaPonta",Mercado_Receita!$L$2:$L$241)+SUMIF(Mercado_Receita!$S$2:$S$241,"44378B1Convencional pré-pagamentoResidencialResidencialNão se aplicaNão se aplicaFora ponta",Mercado_Receita!$L$2:$L$241)+SUMIF(Mercado_Receita!$S$2:$S$241,"44378B1Convencional pré-pagamentoResidencialResidencialNão se aplicaNão se aplicaIntermediário",Mercado_Receita!$L$2:$L$241)+SUMIF(Mercado_Receita!$S$2:$S$241,"44378B1Convencional pré-pagamentoResidencialResidencialNão se aplicaNão se aplicaNão se aplica",Mercado_Receita!$L$2:$L$241)</f>
        <v>0</v>
      </c>
      <c r="J22" s="13">
        <f>SUMIF(Mercado_Receita!$S$2:$S$241,"44409B1Convencional pré-pagamentoResidencialResidencialNão se aplicaNão se aplicaPonta",Mercado_Receita!$L$2:$L$241)+SUMIF(Mercado_Receita!$S$2:$S$241,"44409B1Convencional pré-pagamentoResidencialResidencialNão se aplicaNão se aplicaFora ponta",Mercado_Receita!$L$2:$L$241)+SUMIF(Mercado_Receita!$S$2:$S$241,"44409B1Convencional pré-pagamentoResidencialResidencialNão se aplicaNão se aplicaIntermediário",Mercado_Receita!$L$2:$L$241)+SUMIF(Mercado_Receita!$S$2:$S$241,"44409B1Convencional pré-pagamentoResidencialResidencialNão se aplicaNão se aplicaNão se aplica",Mercado_Receita!$L$2:$L$241)</f>
        <v>0</v>
      </c>
      <c r="K22" s="13">
        <f>SUMIF(Mercado_Receita!$S$2:$S$241,"44440B1Convencional pré-pagamentoResidencialResidencialNão se aplicaNão se aplicaPonta",Mercado_Receita!$L$2:$L$241)+SUMIF(Mercado_Receita!$S$2:$S$241,"44440B1Convencional pré-pagamentoResidencialResidencialNão se aplicaNão se aplicaFora ponta",Mercado_Receita!$L$2:$L$241)+SUMIF(Mercado_Receita!$S$2:$S$241,"44440B1Convencional pré-pagamentoResidencialResidencialNão se aplicaNão se aplicaIntermediário",Mercado_Receita!$L$2:$L$241)+SUMIF(Mercado_Receita!$S$2:$S$241,"44440B1Convencional pré-pagamentoResidencialResidencialNão se aplicaNão se aplicaNão se aplica",Mercado_Receita!$L$2:$L$241)</f>
        <v>0</v>
      </c>
      <c r="L22" s="13">
        <f>SUMIF(Mercado_Receita!$S$2:$S$241,"44470B1Convencional pré-pagamentoResidencialResidencialNão se aplicaNão se aplicaPonta",Mercado_Receita!$L$2:$L$241)+SUMIF(Mercado_Receita!$S$2:$S$241,"44470B1Convencional pré-pagamentoResidencialResidencialNão se aplicaNão se aplicaFora ponta",Mercado_Receita!$L$2:$L$241)+SUMIF(Mercado_Receita!$S$2:$S$241,"44470B1Convencional pré-pagamentoResidencialResidencialNão se aplicaNão se aplicaIntermediário",Mercado_Receita!$L$2:$L$241)+SUMIF(Mercado_Receita!$S$2:$S$241,"44470B1Convencional pré-pagamentoResidencialResidencialNão se aplicaNão se aplicaNão se aplica",Mercado_Receita!$L$2:$L$241)</f>
        <v>0</v>
      </c>
      <c r="M22" s="13">
        <f>SUMIF(Mercado_Receita!$S$2:$S$241,"44501B1Convencional pré-pagamentoResidencialResidencialNão se aplicaNão se aplicaPonta",Mercado_Receita!$L$2:$L$241)+SUMIF(Mercado_Receita!$S$2:$S$241,"44501B1Convencional pré-pagamentoResidencialResidencialNão se aplicaNão se aplicaFora ponta",Mercado_Receita!$L$2:$L$241)+SUMIF(Mercado_Receita!$S$2:$S$241,"44501B1Convencional pré-pagamentoResidencialResidencialNão se aplicaNão se aplicaIntermediário",Mercado_Receita!$L$2:$L$241)+SUMIF(Mercado_Receita!$S$2:$S$241,"44501B1Convencional pré-pagamentoResidencialResidencialNão se aplicaNão se aplicaNão se aplica",Mercado_Receita!$L$2:$L$241)</f>
        <v>0</v>
      </c>
      <c r="N22" s="13">
        <f>SUMIF(Mercado_Receita!$S$2:$S$241,"44531B1Convencional pré-pagamentoResidencialResidencialNão se aplicaNão se aplicaPonta",Mercado_Receita!$L$2:$L$241)+SUMIF(Mercado_Receita!$S$2:$S$241,"44531B1Convencional pré-pagamentoResidencialResidencialNão se aplicaNão se aplicaFora ponta",Mercado_Receita!$L$2:$L$241)+SUMIF(Mercado_Receita!$S$2:$S$241,"44531B1Convencional pré-pagamentoResidencialResidencialNão se aplicaNão se aplicaIntermediário",Mercado_Receita!$L$2:$L$241)+SUMIF(Mercado_Receita!$S$2:$S$241,"44531B1Convencional pré-pagamentoResidencialResidencialNão se aplicaNão se aplicaNão se aplica",Mercado_Receita!$L$2:$L$241)</f>
        <v>0</v>
      </c>
      <c r="O22" s="13">
        <f>SUMIF(Mercado_Receita!$S$2:$S$241,"44562B1Convencional pré-pagamentoResidencialResidencialNão se aplicaNão se aplicaPonta",Mercado_Receita!$L$2:$L$241)+SUMIF(Mercado_Receita!$S$2:$S$241,"44562B1Convencional pré-pagamentoResidencialResidencialNão se aplicaNão se aplicaFora ponta",Mercado_Receita!$L$2:$L$241)+SUMIF(Mercado_Receita!$S$2:$S$241,"44562B1Convencional pré-pagamentoResidencialResidencialNão se aplicaNão se aplicaIntermediário",Mercado_Receita!$L$2:$L$241)+SUMIF(Mercado_Receita!$S$2:$S$241,"44562B1Convencional pré-pagamentoResidencialResidencialNão se aplicaNão se aplicaNão se aplica",Mercado_Receita!$L$2:$L$241)</f>
        <v>0</v>
      </c>
      <c r="P22" s="13">
        <f>SUMIF(Mercado_Receita!$S$2:$S$241,"44593B1Convencional pré-pagamentoResidencialResidencialNão se aplicaNão se aplicaPonta",Mercado_Receita!$L$2:$L$241)+SUMIF(Mercado_Receita!$S$2:$S$241,"44593B1Convencional pré-pagamentoResidencialResidencialNão se aplicaNão se aplicaFora ponta",Mercado_Receita!$L$2:$L$241)+SUMIF(Mercado_Receita!$S$2:$S$241,"44593B1Convencional pré-pagamentoResidencialResidencialNão se aplicaNão se aplicaIntermediário",Mercado_Receita!$L$2:$L$241)+SUMIF(Mercado_Receita!$S$2:$S$241,"44593B1Convencional pré-pagamentoResidencialResidencialNão se aplicaNão se aplicaNão se aplica",Mercado_Receita!$L$2:$L$241)</f>
        <v>0</v>
      </c>
      <c r="Q22" s="13">
        <f>SUMIF(Mercado_Receita!$S$2:$S$241,"44621B1Convencional pré-pagamentoResidencialResidencialNão se aplicaNão se aplicaPonta",Mercado_Receita!$L$2:$L$241)+SUMIF(Mercado_Receita!$S$2:$S$241,"44621B1Convencional pré-pagamentoResidencialResidencialNão se aplicaNão se aplicaFora ponta",Mercado_Receita!$L$2:$L$241)+SUMIF(Mercado_Receita!$S$2:$S$241,"44621B1Convencional pré-pagamentoResidencialResidencialNão se aplicaNão se aplicaIntermediário",Mercado_Receita!$L$2:$L$241)+SUMIF(Mercado_Receita!$S$2:$S$241,"44621B1Convencional pré-pagamentoResidencialResidencialNão se aplicaNão se aplicaNão se aplica",Mercado_Receita!$L$2:$L$241)</f>
        <v>0</v>
      </c>
      <c r="R22" s="13">
        <f>SUMIF(Mercado_Receita!$S$2:$S$241,"44652B1Convencional pré-pagamentoResidencialResidencialNão se aplicaNão se aplicaPonta",Mercado_Receita!$L$2:$L$241)+SUMIF(Mercado_Receita!$S$2:$S$241,"44652B1Convencional pré-pagamentoResidencialResidencialNão se aplicaNão se aplicaFora ponta",Mercado_Receita!$L$2:$L$241)+SUMIF(Mercado_Receita!$S$2:$S$241,"44652B1Convencional pré-pagamentoResidencialResidencialNão se aplicaNão se aplicaIntermediário",Mercado_Receita!$L$2:$L$241)+SUMIF(Mercado_Receita!$S$2:$S$241,"44652B1Convencional pré-pagamentoResidencialResidencialNão se aplicaNão se aplicaNão se aplica",Mercado_Receita!$L$2:$L$241)</f>
        <v>0</v>
      </c>
      <c r="S22" s="13">
        <f>SUMIF(Mercado_Receita!$S$2:$S$241,"44682B1Convencional pré-pagamentoResidencialResidencialNão se aplicaNão se aplicaPonta",Mercado_Receita!$L$2:$L$241)+SUMIF(Mercado_Receita!$S$2:$S$241,"44682B1Convencional pré-pagamentoResidencialResidencialNão se aplicaNão se aplicaFora ponta",Mercado_Receita!$L$2:$L$241)+SUMIF(Mercado_Receita!$S$2:$S$241,"44682B1Convencional pré-pagamentoResidencialResidencialNão se aplicaNão se aplicaIntermediário",Mercado_Receita!$L$2:$L$241)+SUMIF(Mercado_Receita!$S$2:$S$241,"44682B1Convencional pré-pagamentoResidencialResidencialNão se aplicaNão se aplicaNão se aplica",Mercado_Receita!$L$2:$L$241)</f>
        <v>0</v>
      </c>
      <c r="T22" s="13">
        <f>SUMIF(Mercado_Receita!$S$2:$S$241,"44713B1Convencional pré-pagamentoResidencialResidencialNão se aplicaNão se aplicaPonta",Mercado_Receita!$L$2:$L$241)+SUMIF(Mercado_Receita!$S$2:$S$241,"44713B1Convencional pré-pagamentoResidencialResidencialNão se aplicaNão se aplicaFora ponta",Mercado_Receita!$L$2:$L$241)+SUMIF(Mercado_Receita!$S$2:$S$241,"44713B1Convencional pré-pagamentoResidencialResidencialNão se aplicaNão se aplicaIntermediário",Mercado_Receita!$L$2:$L$241)+SUMIF(Mercado_Receita!$S$2:$S$241,"44713B1Convencional pré-pagamentoResidencialResidencialNão se aplicaNão se aplicaNão se aplica",Mercado_Receita!$L$2:$L$241)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88"/>
      <c r="B23" s="88"/>
      <c r="C23" s="88"/>
      <c r="D23" s="12" t="s">
        <v>29</v>
      </c>
      <c r="E23" s="12" t="s">
        <v>25</v>
      </c>
      <c r="F23" s="12" t="s">
        <v>25</v>
      </c>
      <c r="G23" s="13" t="s">
        <v>70</v>
      </c>
      <c r="H23" s="13" t="s">
        <v>66</v>
      </c>
      <c r="I23" s="13">
        <f>SUMIF(Mercado_Receita!$S$2:$S$241,"44378B1Convencional pré-pagamentoResidencialResidencial baixa renda – faixa 01Não se aplicaNão se aplicaPonta",Mercado_Receita!$L$2:$L$241)+SUMIF(Mercado_Receita!$S$2:$S$241,"44378B1Convencional pré-pagamentoResidencialResidencial baixa renda – faixa 01Não se aplicaNão se aplicaFora ponta",Mercado_Receita!$L$2:$L$241)+SUMIF(Mercado_Receita!$S$2:$S$241,"44378B1Convencional pré-pagamentoResidencialResidencial baixa renda – faixa 01Não se aplicaNão se aplicaIntermediário",Mercado_Receita!$L$2:$L$241)+SUMIF(Mercado_Receita!$S$2:$S$241,"44378B1Convencional pré-pagamentoResidencialResidencial baixa renda – faixa 01Não se aplicaNão se aplicaNão se aplica",Mercado_Receita!$L$2:$L$241)</f>
        <v>0</v>
      </c>
      <c r="J23" s="13">
        <f>SUMIF(Mercado_Receita!$S$2:$S$241,"44409B1Convencional pré-pagamentoResidencialResidencial baixa renda – faixa 01Não se aplicaNão se aplicaPonta",Mercado_Receita!$L$2:$L$241)+SUMIF(Mercado_Receita!$S$2:$S$241,"44409B1Convencional pré-pagamentoResidencialResidencial baixa renda – faixa 01Não se aplicaNão se aplicaFora ponta",Mercado_Receita!$L$2:$L$241)+SUMIF(Mercado_Receita!$S$2:$S$241,"44409B1Convencional pré-pagamentoResidencialResidencial baixa renda – faixa 01Não se aplicaNão se aplicaIntermediário",Mercado_Receita!$L$2:$L$241)+SUMIF(Mercado_Receita!$S$2:$S$241,"44409B1Convencional pré-pagamentoResidencialResidencial baixa renda – faixa 01Não se aplicaNão se aplicaNão se aplica",Mercado_Receita!$L$2:$L$241)</f>
        <v>0</v>
      </c>
      <c r="K23" s="13">
        <f>SUMIF(Mercado_Receita!$S$2:$S$241,"44440B1Convencional pré-pagamentoResidencialResidencial baixa renda – faixa 01Não se aplicaNão se aplicaPonta",Mercado_Receita!$L$2:$L$241)+SUMIF(Mercado_Receita!$S$2:$S$241,"44440B1Convencional pré-pagamentoResidencialResidencial baixa renda – faixa 01Não se aplicaNão se aplicaFora ponta",Mercado_Receita!$L$2:$L$241)+SUMIF(Mercado_Receita!$S$2:$S$241,"44440B1Convencional pré-pagamentoResidencialResidencial baixa renda – faixa 01Não se aplicaNão se aplicaIntermediário",Mercado_Receita!$L$2:$L$241)+SUMIF(Mercado_Receita!$S$2:$S$241,"44440B1Convencional pré-pagamentoResidencialResidencial baixa renda – faixa 01Não se aplicaNão se aplicaNão se aplica",Mercado_Receita!$L$2:$L$241)</f>
        <v>0</v>
      </c>
      <c r="L23" s="13">
        <f>SUMIF(Mercado_Receita!$S$2:$S$241,"44470B1Convencional pré-pagamentoResidencialResidencial baixa renda – faixa 01Não se aplicaNão se aplicaPonta",Mercado_Receita!$L$2:$L$241)+SUMIF(Mercado_Receita!$S$2:$S$241,"44470B1Convencional pré-pagamentoResidencialResidencial baixa renda – faixa 01Não se aplicaNão se aplicaFora ponta",Mercado_Receita!$L$2:$L$241)+SUMIF(Mercado_Receita!$S$2:$S$241,"44470B1Convencional pré-pagamentoResidencialResidencial baixa renda – faixa 01Não se aplicaNão se aplicaIntermediário",Mercado_Receita!$L$2:$L$241)+SUMIF(Mercado_Receita!$S$2:$S$241,"44470B1Convencional pré-pagamentoResidencialResidencial baixa renda – faixa 01Não se aplicaNão se aplicaNão se aplica",Mercado_Receita!$L$2:$L$241)</f>
        <v>0</v>
      </c>
      <c r="M23" s="13">
        <f>SUMIF(Mercado_Receita!$S$2:$S$241,"44501B1Convencional pré-pagamentoResidencialResidencial baixa renda – faixa 01Não se aplicaNão se aplicaPonta",Mercado_Receita!$L$2:$L$241)+SUMIF(Mercado_Receita!$S$2:$S$241,"44501B1Convencional pré-pagamentoResidencialResidencial baixa renda – faixa 01Não se aplicaNão se aplicaFora ponta",Mercado_Receita!$L$2:$L$241)+SUMIF(Mercado_Receita!$S$2:$S$241,"44501B1Convencional pré-pagamentoResidencialResidencial baixa renda – faixa 01Não se aplicaNão se aplicaIntermediário",Mercado_Receita!$L$2:$L$241)+SUMIF(Mercado_Receita!$S$2:$S$241,"44501B1Convencional pré-pagamentoResidencialResidencial baixa renda – faixa 01Não se aplicaNão se aplicaNão se aplica",Mercado_Receita!$L$2:$L$241)</f>
        <v>0</v>
      </c>
      <c r="N23" s="13">
        <f>SUMIF(Mercado_Receita!$S$2:$S$241,"44531B1Convencional pré-pagamentoResidencialResidencial baixa renda – faixa 01Não se aplicaNão se aplicaPonta",Mercado_Receita!$L$2:$L$241)+SUMIF(Mercado_Receita!$S$2:$S$241,"44531B1Convencional pré-pagamentoResidencialResidencial baixa renda – faixa 01Não se aplicaNão se aplicaFora ponta",Mercado_Receita!$L$2:$L$241)+SUMIF(Mercado_Receita!$S$2:$S$241,"44531B1Convencional pré-pagamentoResidencialResidencial baixa renda – faixa 01Não se aplicaNão se aplicaIntermediário",Mercado_Receita!$L$2:$L$241)+SUMIF(Mercado_Receita!$S$2:$S$241,"44531B1Convencional pré-pagamentoResidencialResidencial baixa renda – faixa 01Não se aplicaNão se aplicaNão se aplica",Mercado_Receita!$L$2:$L$241)</f>
        <v>0</v>
      </c>
      <c r="O23" s="13">
        <f>SUMIF(Mercado_Receita!$S$2:$S$241,"44562B1Convencional pré-pagamentoResidencialResidencial baixa renda – faixa 01Não se aplicaNão se aplicaPonta",Mercado_Receita!$L$2:$L$241)+SUMIF(Mercado_Receita!$S$2:$S$241,"44562B1Convencional pré-pagamentoResidencialResidencial baixa renda – faixa 01Não se aplicaNão se aplicaFora ponta",Mercado_Receita!$L$2:$L$241)+SUMIF(Mercado_Receita!$S$2:$S$241,"44562B1Convencional pré-pagamentoResidencialResidencial baixa renda – faixa 01Não se aplicaNão se aplicaIntermediário",Mercado_Receita!$L$2:$L$241)+SUMIF(Mercado_Receita!$S$2:$S$241,"44562B1Convencional pré-pagamentoResidencialResidencial baixa renda – faixa 01Não se aplicaNão se aplicaNão se aplica",Mercado_Receita!$L$2:$L$241)</f>
        <v>0</v>
      </c>
      <c r="P23" s="13">
        <f>SUMIF(Mercado_Receita!$S$2:$S$241,"44593B1Convencional pré-pagamentoResidencialResidencial baixa renda – faixa 01Não se aplicaNão se aplicaPonta",Mercado_Receita!$L$2:$L$241)+SUMIF(Mercado_Receita!$S$2:$S$241,"44593B1Convencional pré-pagamentoResidencialResidencial baixa renda – faixa 01Não se aplicaNão se aplicaFora ponta",Mercado_Receita!$L$2:$L$241)+SUMIF(Mercado_Receita!$S$2:$S$241,"44593B1Convencional pré-pagamentoResidencialResidencial baixa renda – faixa 01Não se aplicaNão se aplicaIntermediário",Mercado_Receita!$L$2:$L$241)+SUMIF(Mercado_Receita!$S$2:$S$241,"44593B1Convencional pré-pagamentoResidencialResidencial baixa renda – faixa 01Não se aplicaNão se aplicaNão se aplica",Mercado_Receita!$L$2:$L$241)</f>
        <v>0</v>
      </c>
      <c r="Q23" s="13">
        <f>SUMIF(Mercado_Receita!$S$2:$S$241,"44621B1Convencional pré-pagamentoResidencialResidencial baixa renda – faixa 01Não se aplicaNão se aplicaPonta",Mercado_Receita!$L$2:$L$241)+SUMIF(Mercado_Receita!$S$2:$S$241,"44621B1Convencional pré-pagamentoResidencialResidencial baixa renda – faixa 01Não se aplicaNão se aplicaFora ponta",Mercado_Receita!$L$2:$L$241)+SUMIF(Mercado_Receita!$S$2:$S$241,"44621B1Convencional pré-pagamentoResidencialResidencial baixa renda – faixa 01Não se aplicaNão se aplicaIntermediário",Mercado_Receita!$L$2:$L$241)+SUMIF(Mercado_Receita!$S$2:$S$241,"44621B1Convencional pré-pagamentoResidencialResidencial baixa renda – faixa 01Não se aplicaNão se aplicaNão se aplica",Mercado_Receita!$L$2:$L$241)</f>
        <v>0</v>
      </c>
      <c r="R23" s="13">
        <f>SUMIF(Mercado_Receita!$S$2:$S$241,"44652B1Convencional pré-pagamentoResidencialResidencial baixa renda – faixa 01Não se aplicaNão se aplicaPonta",Mercado_Receita!$L$2:$L$241)+SUMIF(Mercado_Receita!$S$2:$S$241,"44652B1Convencional pré-pagamentoResidencialResidencial baixa renda – faixa 01Não se aplicaNão se aplicaFora ponta",Mercado_Receita!$L$2:$L$241)+SUMIF(Mercado_Receita!$S$2:$S$241,"44652B1Convencional pré-pagamentoResidencialResidencial baixa renda – faixa 01Não se aplicaNão se aplicaIntermediário",Mercado_Receita!$L$2:$L$241)+SUMIF(Mercado_Receita!$S$2:$S$241,"44652B1Convencional pré-pagamentoResidencialResidencial baixa renda – faixa 01Não se aplicaNão se aplicaNão se aplica",Mercado_Receita!$L$2:$L$241)</f>
        <v>0</v>
      </c>
      <c r="S23" s="13">
        <f>SUMIF(Mercado_Receita!$S$2:$S$241,"44682B1Convencional pré-pagamentoResidencialResidencial baixa renda – faixa 01Não se aplicaNão se aplicaPonta",Mercado_Receita!$L$2:$L$241)+SUMIF(Mercado_Receita!$S$2:$S$241,"44682B1Convencional pré-pagamentoResidencialResidencial baixa renda – faixa 01Não se aplicaNão se aplicaFora ponta",Mercado_Receita!$L$2:$L$241)+SUMIF(Mercado_Receita!$S$2:$S$241,"44682B1Convencional pré-pagamentoResidencialResidencial baixa renda – faixa 01Não se aplicaNão se aplicaIntermediário",Mercado_Receita!$L$2:$L$241)+SUMIF(Mercado_Receita!$S$2:$S$241,"44682B1Convencional pré-pagamentoResidencialResidencial baixa renda – faixa 01Não se aplicaNão se aplicaNão se aplica",Mercado_Receita!$L$2:$L$241)</f>
        <v>0</v>
      </c>
      <c r="T23" s="13">
        <f>SUMIF(Mercado_Receita!$S$2:$S$241,"44713B1Convencional pré-pagamentoResidencialResidencial baixa renda – faixa 01Não se aplicaNão se aplicaPonta",Mercado_Receita!$L$2:$L$241)+SUMIF(Mercado_Receita!$S$2:$S$241,"44713B1Convencional pré-pagamentoResidencialResidencial baixa renda – faixa 01Não se aplicaNão se aplicaFora ponta",Mercado_Receita!$L$2:$L$241)+SUMIF(Mercado_Receita!$S$2:$S$241,"44713B1Convencional pré-pagamentoResidencialResidencial baixa renda – faixa 01Não se aplicaNão se aplicaIntermediário",Mercado_Receita!$L$2:$L$241)+SUMIF(Mercado_Receita!$S$2:$S$241,"44713B1Convencional pré-pagamentoResidencialResidencial baixa renda – faixa 01Não se aplicaNão se aplicaNão se aplica",Mercado_Receita!$L$2:$L$241)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88"/>
      <c r="B24" s="88"/>
      <c r="C24" s="88"/>
      <c r="D24" s="12" t="s">
        <v>30</v>
      </c>
      <c r="E24" s="12" t="s">
        <v>25</v>
      </c>
      <c r="F24" s="12" t="s">
        <v>25</v>
      </c>
      <c r="G24" s="13" t="s">
        <v>70</v>
      </c>
      <c r="H24" s="13" t="s">
        <v>66</v>
      </c>
      <c r="I24" s="13">
        <f>SUMIF(Mercado_Receita!$S$2:$S$241,"44378B1Convencional pré-pagamentoResidencialResidencial baixa renda – faixa 02Não se aplicaNão se aplicaPonta",Mercado_Receita!$L$2:$L$241)+SUMIF(Mercado_Receita!$S$2:$S$241,"44378B1Convencional pré-pagamentoResidencialResidencial baixa renda – faixa 02Não se aplicaNão se aplicaFora ponta",Mercado_Receita!$L$2:$L$241)+SUMIF(Mercado_Receita!$S$2:$S$241,"44378B1Convencional pré-pagamentoResidencialResidencial baixa renda – faixa 02Não se aplicaNão se aplicaIntermediário",Mercado_Receita!$L$2:$L$241)+SUMIF(Mercado_Receita!$S$2:$S$241,"44378B1Convencional pré-pagamentoResidencialResidencial baixa renda – faixa 02Não se aplicaNão se aplicaNão se aplica",Mercado_Receita!$L$2:$L$241)</f>
        <v>0</v>
      </c>
      <c r="J24" s="13">
        <f>SUMIF(Mercado_Receita!$S$2:$S$241,"44409B1Convencional pré-pagamentoResidencialResidencial baixa renda – faixa 02Não se aplicaNão se aplicaPonta",Mercado_Receita!$L$2:$L$241)+SUMIF(Mercado_Receita!$S$2:$S$241,"44409B1Convencional pré-pagamentoResidencialResidencial baixa renda – faixa 02Não se aplicaNão se aplicaFora ponta",Mercado_Receita!$L$2:$L$241)+SUMIF(Mercado_Receita!$S$2:$S$241,"44409B1Convencional pré-pagamentoResidencialResidencial baixa renda – faixa 02Não se aplicaNão se aplicaIntermediário",Mercado_Receita!$L$2:$L$241)+SUMIF(Mercado_Receita!$S$2:$S$241,"44409B1Convencional pré-pagamentoResidencialResidencial baixa renda – faixa 02Não se aplicaNão se aplicaNão se aplica",Mercado_Receita!$L$2:$L$241)</f>
        <v>0</v>
      </c>
      <c r="K24" s="13">
        <f>SUMIF(Mercado_Receita!$S$2:$S$241,"44440B1Convencional pré-pagamentoResidencialResidencial baixa renda – faixa 02Não se aplicaNão se aplicaPonta",Mercado_Receita!$L$2:$L$241)+SUMIF(Mercado_Receita!$S$2:$S$241,"44440B1Convencional pré-pagamentoResidencialResidencial baixa renda – faixa 02Não se aplicaNão se aplicaFora ponta",Mercado_Receita!$L$2:$L$241)+SUMIF(Mercado_Receita!$S$2:$S$241,"44440B1Convencional pré-pagamentoResidencialResidencial baixa renda – faixa 02Não se aplicaNão se aplicaIntermediário",Mercado_Receita!$L$2:$L$241)+SUMIF(Mercado_Receita!$S$2:$S$241,"44440B1Convencional pré-pagamentoResidencialResidencial baixa renda – faixa 02Não se aplicaNão se aplicaNão se aplica",Mercado_Receita!$L$2:$L$241)</f>
        <v>0</v>
      </c>
      <c r="L24" s="13">
        <f>SUMIF(Mercado_Receita!$S$2:$S$241,"44470B1Convencional pré-pagamentoResidencialResidencial baixa renda – faixa 02Não se aplicaNão se aplicaPonta",Mercado_Receita!$L$2:$L$241)+SUMIF(Mercado_Receita!$S$2:$S$241,"44470B1Convencional pré-pagamentoResidencialResidencial baixa renda – faixa 02Não se aplicaNão se aplicaFora ponta",Mercado_Receita!$L$2:$L$241)+SUMIF(Mercado_Receita!$S$2:$S$241,"44470B1Convencional pré-pagamentoResidencialResidencial baixa renda – faixa 02Não se aplicaNão se aplicaIntermediário",Mercado_Receita!$L$2:$L$241)+SUMIF(Mercado_Receita!$S$2:$S$241,"44470B1Convencional pré-pagamentoResidencialResidencial baixa renda – faixa 02Não se aplicaNão se aplicaNão se aplica",Mercado_Receita!$L$2:$L$241)</f>
        <v>0</v>
      </c>
      <c r="M24" s="13">
        <f>SUMIF(Mercado_Receita!$S$2:$S$241,"44501B1Convencional pré-pagamentoResidencialResidencial baixa renda – faixa 02Não se aplicaNão se aplicaPonta",Mercado_Receita!$L$2:$L$241)+SUMIF(Mercado_Receita!$S$2:$S$241,"44501B1Convencional pré-pagamentoResidencialResidencial baixa renda – faixa 02Não se aplicaNão se aplicaFora ponta",Mercado_Receita!$L$2:$L$241)+SUMIF(Mercado_Receita!$S$2:$S$241,"44501B1Convencional pré-pagamentoResidencialResidencial baixa renda – faixa 02Não se aplicaNão se aplicaIntermediário",Mercado_Receita!$L$2:$L$241)+SUMIF(Mercado_Receita!$S$2:$S$241,"44501B1Convencional pré-pagamentoResidencialResidencial baixa renda – faixa 02Não se aplicaNão se aplicaNão se aplica",Mercado_Receita!$L$2:$L$241)</f>
        <v>0</v>
      </c>
      <c r="N24" s="13">
        <f>SUMIF(Mercado_Receita!$S$2:$S$241,"44531B1Convencional pré-pagamentoResidencialResidencial baixa renda – faixa 02Não se aplicaNão se aplicaPonta",Mercado_Receita!$L$2:$L$241)+SUMIF(Mercado_Receita!$S$2:$S$241,"44531B1Convencional pré-pagamentoResidencialResidencial baixa renda – faixa 02Não se aplicaNão se aplicaFora ponta",Mercado_Receita!$L$2:$L$241)+SUMIF(Mercado_Receita!$S$2:$S$241,"44531B1Convencional pré-pagamentoResidencialResidencial baixa renda – faixa 02Não se aplicaNão se aplicaIntermediário",Mercado_Receita!$L$2:$L$241)+SUMIF(Mercado_Receita!$S$2:$S$241,"44531B1Convencional pré-pagamentoResidencialResidencial baixa renda – faixa 02Não se aplicaNão se aplicaNão se aplica",Mercado_Receita!$L$2:$L$241)</f>
        <v>0</v>
      </c>
      <c r="O24" s="13">
        <f>SUMIF(Mercado_Receita!$S$2:$S$241,"44562B1Convencional pré-pagamentoResidencialResidencial baixa renda – faixa 02Não se aplicaNão se aplicaPonta",Mercado_Receita!$L$2:$L$241)+SUMIF(Mercado_Receita!$S$2:$S$241,"44562B1Convencional pré-pagamentoResidencialResidencial baixa renda – faixa 02Não se aplicaNão se aplicaFora ponta",Mercado_Receita!$L$2:$L$241)+SUMIF(Mercado_Receita!$S$2:$S$241,"44562B1Convencional pré-pagamentoResidencialResidencial baixa renda – faixa 02Não se aplicaNão se aplicaIntermediário",Mercado_Receita!$L$2:$L$241)+SUMIF(Mercado_Receita!$S$2:$S$241,"44562B1Convencional pré-pagamentoResidencialResidencial baixa renda – faixa 02Não se aplicaNão se aplicaNão se aplica",Mercado_Receita!$L$2:$L$241)</f>
        <v>0</v>
      </c>
      <c r="P24" s="13">
        <f>SUMIF(Mercado_Receita!$S$2:$S$241,"44593B1Convencional pré-pagamentoResidencialResidencial baixa renda – faixa 02Não se aplicaNão se aplicaPonta",Mercado_Receita!$L$2:$L$241)+SUMIF(Mercado_Receita!$S$2:$S$241,"44593B1Convencional pré-pagamentoResidencialResidencial baixa renda – faixa 02Não se aplicaNão se aplicaFora ponta",Mercado_Receita!$L$2:$L$241)+SUMIF(Mercado_Receita!$S$2:$S$241,"44593B1Convencional pré-pagamentoResidencialResidencial baixa renda – faixa 02Não se aplicaNão se aplicaIntermediário",Mercado_Receita!$L$2:$L$241)+SUMIF(Mercado_Receita!$S$2:$S$241,"44593B1Convencional pré-pagamentoResidencialResidencial baixa renda – faixa 02Não se aplicaNão se aplicaNão se aplica",Mercado_Receita!$L$2:$L$241)</f>
        <v>0</v>
      </c>
      <c r="Q24" s="13">
        <f>SUMIF(Mercado_Receita!$S$2:$S$241,"44621B1Convencional pré-pagamentoResidencialResidencial baixa renda – faixa 02Não se aplicaNão se aplicaPonta",Mercado_Receita!$L$2:$L$241)+SUMIF(Mercado_Receita!$S$2:$S$241,"44621B1Convencional pré-pagamentoResidencialResidencial baixa renda – faixa 02Não se aplicaNão se aplicaFora ponta",Mercado_Receita!$L$2:$L$241)+SUMIF(Mercado_Receita!$S$2:$S$241,"44621B1Convencional pré-pagamentoResidencialResidencial baixa renda – faixa 02Não se aplicaNão se aplicaIntermediário",Mercado_Receita!$L$2:$L$241)+SUMIF(Mercado_Receita!$S$2:$S$241,"44621B1Convencional pré-pagamentoResidencialResidencial baixa renda – faixa 02Não se aplicaNão se aplicaNão se aplica",Mercado_Receita!$L$2:$L$241)</f>
        <v>0</v>
      </c>
      <c r="R24" s="13">
        <f>SUMIF(Mercado_Receita!$S$2:$S$241,"44652B1Convencional pré-pagamentoResidencialResidencial baixa renda – faixa 02Não se aplicaNão se aplicaPonta",Mercado_Receita!$L$2:$L$241)+SUMIF(Mercado_Receita!$S$2:$S$241,"44652B1Convencional pré-pagamentoResidencialResidencial baixa renda – faixa 02Não se aplicaNão se aplicaFora ponta",Mercado_Receita!$L$2:$L$241)+SUMIF(Mercado_Receita!$S$2:$S$241,"44652B1Convencional pré-pagamentoResidencialResidencial baixa renda – faixa 02Não se aplicaNão se aplicaIntermediário",Mercado_Receita!$L$2:$L$241)+SUMIF(Mercado_Receita!$S$2:$S$241,"44652B1Convencional pré-pagamentoResidencialResidencial baixa renda – faixa 02Não se aplicaNão se aplicaNão se aplica",Mercado_Receita!$L$2:$L$241)</f>
        <v>0</v>
      </c>
      <c r="S24" s="13">
        <f>SUMIF(Mercado_Receita!$S$2:$S$241,"44682B1Convencional pré-pagamentoResidencialResidencial baixa renda – faixa 02Não se aplicaNão se aplicaPonta",Mercado_Receita!$L$2:$L$241)+SUMIF(Mercado_Receita!$S$2:$S$241,"44682B1Convencional pré-pagamentoResidencialResidencial baixa renda – faixa 02Não se aplicaNão se aplicaFora ponta",Mercado_Receita!$L$2:$L$241)+SUMIF(Mercado_Receita!$S$2:$S$241,"44682B1Convencional pré-pagamentoResidencialResidencial baixa renda – faixa 02Não se aplicaNão se aplicaIntermediário",Mercado_Receita!$L$2:$L$241)+SUMIF(Mercado_Receita!$S$2:$S$241,"44682B1Convencional pré-pagamentoResidencialResidencial baixa renda – faixa 02Não se aplicaNão se aplicaNão se aplica",Mercado_Receita!$L$2:$L$241)</f>
        <v>0</v>
      </c>
      <c r="T24" s="13">
        <f>SUMIF(Mercado_Receita!$S$2:$S$241,"44713B1Convencional pré-pagamentoResidencialResidencial baixa renda – faixa 02Não se aplicaNão se aplicaPonta",Mercado_Receita!$L$2:$L$241)+SUMIF(Mercado_Receita!$S$2:$S$241,"44713B1Convencional pré-pagamentoResidencialResidencial baixa renda – faixa 02Não se aplicaNão se aplicaFora ponta",Mercado_Receita!$L$2:$L$241)+SUMIF(Mercado_Receita!$S$2:$S$241,"44713B1Convencional pré-pagamentoResidencialResidencial baixa renda – faixa 02Não se aplicaNão se aplicaIntermediário",Mercado_Receita!$L$2:$L$241)+SUMIF(Mercado_Receita!$S$2:$S$241,"44713B1Convencional pré-pagamentoResidencialResidencial baixa renda – faixa 02Não se aplicaNão se aplicaNão se aplica",Mercado_Receita!$L$2:$L$241)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88"/>
      <c r="B25" s="88"/>
      <c r="C25" s="88"/>
      <c r="D25" s="12" t="s">
        <v>31</v>
      </c>
      <c r="E25" s="12" t="s">
        <v>25</v>
      </c>
      <c r="F25" s="12" t="s">
        <v>25</v>
      </c>
      <c r="G25" s="13" t="s">
        <v>70</v>
      </c>
      <c r="H25" s="13" t="s">
        <v>66</v>
      </c>
      <c r="I25" s="13">
        <f>SUMIF(Mercado_Receita!$S$2:$S$241,"44378B1Convencional pré-pagamentoResidencialResidencial baixa renda – faixa 03Não se aplicaNão se aplicaPonta",Mercado_Receita!$L$2:$L$241)+SUMIF(Mercado_Receita!$S$2:$S$241,"44378B1Convencional pré-pagamentoResidencialResidencial baixa renda – faixa 03Não se aplicaNão se aplicaFora ponta",Mercado_Receita!$L$2:$L$241)+SUMIF(Mercado_Receita!$S$2:$S$241,"44378B1Convencional pré-pagamentoResidencialResidencial baixa renda – faixa 03Não se aplicaNão se aplicaIntermediário",Mercado_Receita!$L$2:$L$241)+SUMIF(Mercado_Receita!$S$2:$S$241,"44378B1Convencional pré-pagamentoResidencialResidencial baixa renda – faixa 03Não se aplicaNão se aplicaNão se aplica",Mercado_Receita!$L$2:$L$241)</f>
        <v>0</v>
      </c>
      <c r="J25" s="13">
        <f>SUMIF(Mercado_Receita!$S$2:$S$241,"44409B1Convencional pré-pagamentoResidencialResidencial baixa renda – faixa 03Não se aplicaNão se aplicaPonta",Mercado_Receita!$L$2:$L$241)+SUMIF(Mercado_Receita!$S$2:$S$241,"44409B1Convencional pré-pagamentoResidencialResidencial baixa renda – faixa 03Não se aplicaNão se aplicaFora ponta",Mercado_Receita!$L$2:$L$241)+SUMIF(Mercado_Receita!$S$2:$S$241,"44409B1Convencional pré-pagamentoResidencialResidencial baixa renda – faixa 03Não se aplicaNão se aplicaIntermediário",Mercado_Receita!$L$2:$L$241)+SUMIF(Mercado_Receita!$S$2:$S$241,"44409B1Convencional pré-pagamentoResidencialResidencial baixa renda – faixa 03Não se aplicaNão se aplicaNão se aplica",Mercado_Receita!$L$2:$L$241)</f>
        <v>0</v>
      </c>
      <c r="K25" s="13">
        <f>SUMIF(Mercado_Receita!$S$2:$S$241,"44440B1Convencional pré-pagamentoResidencialResidencial baixa renda – faixa 03Não se aplicaNão se aplicaPonta",Mercado_Receita!$L$2:$L$241)+SUMIF(Mercado_Receita!$S$2:$S$241,"44440B1Convencional pré-pagamentoResidencialResidencial baixa renda – faixa 03Não se aplicaNão se aplicaFora ponta",Mercado_Receita!$L$2:$L$241)+SUMIF(Mercado_Receita!$S$2:$S$241,"44440B1Convencional pré-pagamentoResidencialResidencial baixa renda – faixa 03Não se aplicaNão se aplicaIntermediário",Mercado_Receita!$L$2:$L$241)+SUMIF(Mercado_Receita!$S$2:$S$241,"44440B1Convencional pré-pagamentoResidencialResidencial baixa renda – faixa 03Não se aplicaNão se aplicaNão se aplica",Mercado_Receita!$L$2:$L$241)</f>
        <v>0</v>
      </c>
      <c r="L25" s="13">
        <f>SUMIF(Mercado_Receita!$S$2:$S$241,"44470B1Convencional pré-pagamentoResidencialResidencial baixa renda – faixa 03Não se aplicaNão se aplicaPonta",Mercado_Receita!$L$2:$L$241)+SUMIF(Mercado_Receita!$S$2:$S$241,"44470B1Convencional pré-pagamentoResidencialResidencial baixa renda – faixa 03Não se aplicaNão se aplicaFora ponta",Mercado_Receita!$L$2:$L$241)+SUMIF(Mercado_Receita!$S$2:$S$241,"44470B1Convencional pré-pagamentoResidencialResidencial baixa renda – faixa 03Não se aplicaNão se aplicaIntermediário",Mercado_Receita!$L$2:$L$241)+SUMIF(Mercado_Receita!$S$2:$S$241,"44470B1Convencional pré-pagamentoResidencialResidencial baixa renda – faixa 03Não se aplicaNão se aplicaNão se aplica",Mercado_Receita!$L$2:$L$241)</f>
        <v>0</v>
      </c>
      <c r="M25" s="13">
        <f>SUMIF(Mercado_Receita!$S$2:$S$241,"44501B1Convencional pré-pagamentoResidencialResidencial baixa renda – faixa 03Não se aplicaNão se aplicaPonta",Mercado_Receita!$L$2:$L$241)+SUMIF(Mercado_Receita!$S$2:$S$241,"44501B1Convencional pré-pagamentoResidencialResidencial baixa renda – faixa 03Não se aplicaNão se aplicaFora ponta",Mercado_Receita!$L$2:$L$241)+SUMIF(Mercado_Receita!$S$2:$S$241,"44501B1Convencional pré-pagamentoResidencialResidencial baixa renda – faixa 03Não se aplicaNão se aplicaIntermediário",Mercado_Receita!$L$2:$L$241)+SUMIF(Mercado_Receita!$S$2:$S$241,"44501B1Convencional pré-pagamentoResidencialResidencial baixa renda – faixa 03Não se aplicaNão se aplicaNão se aplica",Mercado_Receita!$L$2:$L$241)</f>
        <v>0</v>
      </c>
      <c r="N25" s="13">
        <f>SUMIF(Mercado_Receita!$S$2:$S$241,"44531B1Convencional pré-pagamentoResidencialResidencial baixa renda – faixa 03Não se aplicaNão se aplicaPonta",Mercado_Receita!$L$2:$L$241)+SUMIF(Mercado_Receita!$S$2:$S$241,"44531B1Convencional pré-pagamentoResidencialResidencial baixa renda – faixa 03Não se aplicaNão se aplicaFora ponta",Mercado_Receita!$L$2:$L$241)+SUMIF(Mercado_Receita!$S$2:$S$241,"44531B1Convencional pré-pagamentoResidencialResidencial baixa renda – faixa 03Não se aplicaNão se aplicaIntermediário",Mercado_Receita!$L$2:$L$241)+SUMIF(Mercado_Receita!$S$2:$S$241,"44531B1Convencional pré-pagamentoResidencialResidencial baixa renda – faixa 03Não se aplicaNão se aplicaNão se aplica",Mercado_Receita!$L$2:$L$241)</f>
        <v>0</v>
      </c>
      <c r="O25" s="13">
        <f>SUMIF(Mercado_Receita!$S$2:$S$241,"44562B1Convencional pré-pagamentoResidencialResidencial baixa renda – faixa 03Não se aplicaNão se aplicaPonta",Mercado_Receita!$L$2:$L$241)+SUMIF(Mercado_Receita!$S$2:$S$241,"44562B1Convencional pré-pagamentoResidencialResidencial baixa renda – faixa 03Não se aplicaNão se aplicaFora ponta",Mercado_Receita!$L$2:$L$241)+SUMIF(Mercado_Receita!$S$2:$S$241,"44562B1Convencional pré-pagamentoResidencialResidencial baixa renda – faixa 03Não se aplicaNão se aplicaIntermediário",Mercado_Receita!$L$2:$L$241)+SUMIF(Mercado_Receita!$S$2:$S$241,"44562B1Convencional pré-pagamentoResidencialResidencial baixa renda – faixa 03Não se aplicaNão se aplicaNão se aplica",Mercado_Receita!$L$2:$L$241)</f>
        <v>0</v>
      </c>
      <c r="P25" s="13">
        <f>SUMIF(Mercado_Receita!$S$2:$S$241,"44593B1Convencional pré-pagamentoResidencialResidencial baixa renda – faixa 03Não se aplicaNão se aplicaPonta",Mercado_Receita!$L$2:$L$241)+SUMIF(Mercado_Receita!$S$2:$S$241,"44593B1Convencional pré-pagamentoResidencialResidencial baixa renda – faixa 03Não se aplicaNão se aplicaFora ponta",Mercado_Receita!$L$2:$L$241)+SUMIF(Mercado_Receita!$S$2:$S$241,"44593B1Convencional pré-pagamentoResidencialResidencial baixa renda – faixa 03Não se aplicaNão se aplicaIntermediário",Mercado_Receita!$L$2:$L$241)+SUMIF(Mercado_Receita!$S$2:$S$241,"44593B1Convencional pré-pagamentoResidencialResidencial baixa renda – faixa 03Não se aplicaNão se aplicaNão se aplica",Mercado_Receita!$L$2:$L$241)</f>
        <v>0</v>
      </c>
      <c r="Q25" s="13">
        <f>SUMIF(Mercado_Receita!$S$2:$S$241,"44621B1Convencional pré-pagamentoResidencialResidencial baixa renda – faixa 03Não se aplicaNão se aplicaPonta",Mercado_Receita!$L$2:$L$241)+SUMIF(Mercado_Receita!$S$2:$S$241,"44621B1Convencional pré-pagamentoResidencialResidencial baixa renda – faixa 03Não se aplicaNão se aplicaFora ponta",Mercado_Receita!$L$2:$L$241)+SUMIF(Mercado_Receita!$S$2:$S$241,"44621B1Convencional pré-pagamentoResidencialResidencial baixa renda – faixa 03Não se aplicaNão se aplicaIntermediário",Mercado_Receita!$L$2:$L$241)+SUMIF(Mercado_Receita!$S$2:$S$241,"44621B1Convencional pré-pagamentoResidencialResidencial baixa renda – faixa 03Não se aplicaNão se aplicaNão se aplica",Mercado_Receita!$L$2:$L$241)</f>
        <v>0</v>
      </c>
      <c r="R25" s="13">
        <f>SUMIF(Mercado_Receita!$S$2:$S$241,"44652B1Convencional pré-pagamentoResidencialResidencial baixa renda – faixa 03Não se aplicaNão se aplicaPonta",Mercado_Receita!$L$2:$L$241)+SUMIF(Mercado_Receita!$S$2:$S$241,"44652B1Convencional pré-pagamentoResidencialResidencial baixa renda – faixa 03Não se aplicaNão se aplicaFora ponta",Mercado_Receita!$L$2:$L$241)+SUMIF(Mercado_Receita!$S$2:$S$241,"44652B1Convencional pré-pagamentoResidencialResidencial baixa renda – faixa 03Não se aplicaNão se aplicaIntermediário",Mercado_Receita!$L$2:$L$241)+SUMIF(Mercado_Receita!$S$2:$S$241,"44652B1Convencional pré-pagamentoResidencialResidencial baixa renda – faixa 03Não se aplicaNão se aplicaNão se aplica",Mercado_Receita!$L$2:$L$241)</f>
        <v>0</v>
      </c>
      <c r="S25" s="13">
        <f>SUMIF(Mercado_Receita!$S$2:$S$241,"44682B1Convencional pré-pagamentoResidencialResidencial baixa renda – faixa 03Não se aplicaNão se aplicaPonta",Mercado_Receita!$L$2:$L$241)+SUMIF(Mercado_Receita!$S$2:$S$241,"44682B1Convencional pré-pagamentoResidencialResidencial baixa renda – faixa 03Não se aplicaNão se aplicaFora ponta",Mercado_Receita!$L$2:$L$241)+SUMIF(Mercado_Receita!$S$2:$S$241,"44682B1Convencional pré-pagamentoResidencialResidencial baixa renda – faixa 03Não se aplicaNão se aplicaIntermediário",Mercado_Receita!$L$2:$L$241)+SUMIF(Mercado_Receita!$S$2:$S$241,"44682B1Convencional pré-pagamentoResidencialResidencial baixa renda – faixa 03Não se aplicaNão se aplicaNão se aplica",Mercado_Receita!$L$2:$L$241)</f>
        <v>0</v>
      </c>
      <c r="T25" s="13">
        <f>SUMIF(Mercado_Receita!$S$2:$S$241,"44713B1Convencional pré-pagamentoResidencialResidencial baixa renda – faixa 03Não se aplicaNão se aplicaPonta",Mercado_Receita!$L$2:$L$241)+SUMIF(Mercado_Receita!$S$2:$S$241,"44713B1Convencional pré-pagamentoResidencialResidencial baixa renda – faixa 03Não se aplicaNão se aplicaFora ponta",Mercado_Receita!$L$2:$L$241)+SUMIF(Mercado_Receita!$S$2:$S$241,"44713B1Convencional pré-pagamentoResidencialResidencial baixa renda – faixa 03Não se aplicaNão se aplicaIntermediário",Mercado_Receita!$L$2:$L$241)+SUMIF(Mercado_Receita!$S$2:$S$241,"44713B1Convencional pré-pagamentoResidencialResidencial baixa renda – faixa 03Não se aplicaNão se aplicaNão se aplica",Mercado_Receita!$L$2:$L$241)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88"/>
      <c r="B26" s="88"/>
      <c r="C26" s="88"/>
      <c r="D26" s="12" t="s">
        <v>32</v>
      </c>
      <c r="E26" s="12" t="s">
        <v>25</v>
      </c>
      <c r="F26" s="12" t="s">
        <v>25</v>
      </c>
      <c r="G26" s="13" t="s">
        <v>70</v>
      </c>
      <c r="H26" s="13" t="s">
        <v>66</v>
      </c>
      <c r="I26" s="13">
        <f>SUMIF(Mercado_Receita!$S$2:$S$241,"44378B1Convencional pré-pagamentoResidencialResidencial baixa renda – faixa 04Não se aplicaNão se aplicaPonta",Mercado_Receita!$L$2:$L$241)+SUMIF(Mercado_Receita!$S$2:$S$241,"44378B1Convencional pré-pagamentoResidencialResidencial baixa renda – faixa 04Não se aplicaNão se aplicaFora ponta",Mercado_Receita!$L$2:$L$241)+SUMIF(Mercado_Receita!$S$2:$S$241,"44378B1Convencional pré-pagamentoResidencialResidencial baixa renda – faixa 04Não se aplicaNão se aplicaIntermediário",Mercado_Receita!$L$2:$L$241)+SUMIF(Mercado_Receita!$S$2:$S$241,"44378B1Convencional pré-pagamentoResidencialResidencial baixa renda – faixa 04Não se aplicaNão se aplicaNão se aplica",Mercado_Receita!$L$2:$L$241)</f>
        <v>0</v>
      </c>
      <c r="J26" s="13">
        <f>SUMIF(Mercado_Receita!$S$2:$S$241,"44409B1Convencional pré-pagamentoResidencialResidencial baixa renda – faixa 04Não se aplicaNão se aplicaPonta",Mercado_Receita!$L$2:$L$241)+SUMIF(Mercado_Receita!$S$2:$S$241,"44409B1Convencional pré-pagamentoResidencialResidencial baixa renda – faixa 04Não se aplicaNão se aplicaFora ponta",Mercado_Receita!$L$2:$L$241)+SUMIF(Mercado_Receita!$S$2:$S$241,"44409B1Convencional pré-pagamentoResidencialResidencial baixa renda – faixa 04Não se aplicaNão se aplicaIntermediário",Mercado_Receita!$L$2:$L$241)+SUMIF(Mercado_Receita!$S$2:$S$241,"44409B1Convencional pré-pagamentoResidencialResidencial baixa renda – faixa 04Não se aplicaNão se aplicaNão se aplica",Mercado_Receita!$L$2:$L$241)</f>
        <v>0</v>
      </c>
      <c r="K26" s="13">
        <f>SUMIF(Mercado_Receita!$S$2:$S$241,"44440B1Convencional pré-pagamentoResidencialResidencial baixa renda – faixa 04Não se aplicaNão se aplicaPonta",Mercado_Receita!$L$2:$L$241)+SUMIF(Mercado_Receita!$S$2:$S$241,"44440B1Convencional pré-pagamentoResidencialResidencial baixa renda – faixa 04Não se aplicaNão se aplicaFora ponta",Mercado_Receita!$L$2:$L$241)+SUMIF(Mercado_Receita!$S$2:$S$241,"44440B1Convencional pré-pagamentoResidencialResidencial baixa renda – faixa 04Não se aplicaNão se aplicaIntermediário",Mercado_Receita!$L$2:$L$241)+SUMIF(Mercado_Receita!$S$2:$S$241,"44440B1Convencional pré-pagamentoResidencialResidencial baixa renda – faixa 04Não se aplicaNão se aplicaNão se aplica",Mercado_Receita!$L$2:$L$241)</f>
        <v>0</v>
      </c>
      <c r="L26" s="13">
        <f>SUMIF(Mercado_Receita!$S$2:$S$241,"44470B1Convencional pré-pagamentoResidencialResidencial baixa renda – faixa 04Não se aplicaNão se aplicaPonta",Mercado_Receita!$L$2:$L$241)+SUMIF(Mercado_Receita!$S$2:$S$241,"44470B1Convencional pré-pagamentoResidencialResidencial baixa renda – faixa 04Não se aplicaNão se aplicaFora ponta",Mercado_Receita!$L$2:$L$241)+SUMIF(Mercado_Receita!$S$2:$S$241,"44470B1Convencional pré-pagamentoResidencialResidencial baixa renda – faixa 04Não se aplicaNão se aplicaIntermediário",Mercado_Receita!$L$2:$L$241)+SUMIF(Mercado_Receita!$S$2:$S$241,"44470B1Convencional pré-pagamentoResidencialResidencial baixa renda – faixa 04Não se aplicaNão se aplicaNão se aplica",Mercado_Receita!$L$2:$L$241)</f>
        <v>0</v>
      </c>
      <c r="M26" s="13">
        <f>SUMIF(Mercado_Receita!$S$2:$S$241,"44501B1Convencional pré-pagamentoResidencialResidencial baixa renda – faixa 04Não se aplicaNão se aplicaPonta",Mercado_Receita!$L$2:$L$241)+SUMIF(Mercado_Receita!$S$2:$S$241,"44501B1Convencional pré-pagamentoResidencialResidencial baixa renda – faixa 04Não se aplicaNão se aplicaFora ponta",Mercado_Receita!$L$2:$L$241)+SUMIF(Mercado_Receita!$S$2:$S$241,"44501B1Convencional pré-pagamentoResidencialResidencial baixa renda – faixa 04Não se aplicaNão se aplicaIntermediário",Mercado_Receita!$L$2:$L$241)+SUMIF(Mercado_Receita!$S$2:$S$241,"44501B1Convencional pré-pagamentoResidencialResidencial baixa renda – faixa 04Não se aplicaNão se aplicaNão se aplica",Mercado_Receita!$L$2:$L$241)</f>
        <v>0</v>
      </c>
      <c r="N26" s="13">
        <f>SUMIF(Mercado_Receita!$S$2:$S$241,"44531B1Convencional pré-pagamentoResidencialResidencial baixa renda – faixa 04Não se aplicaNão se aplicaPonta",Mercado_Receita!$L$2:$L$241)+SUMIF(Mercado_Receita!$S$2:$S$241,"44531B1Convencional pré-pagamentoResidencialResidencial baixa renda – faixa 04Não se aplicaNão se aplicaFora ponta",Mercado_Receita!$L$2:$L$241)+SUMIF(Mercado_Receita!$S$2:$S$241,"44531B1Convencional pré-pagamentoResidencialResidencial baixa renda – faixa 04Não se aplicaNão se aplicaIntermediário",Mercado_Receita!$L$2:$L$241)+SUMIF(Mercado_Receita!$S$2:$S$241,"44531B1Convencional pré-pagamentoResidencialResidencial baixa renda – faixa 04Não se aplicaNão se aplicaNão se aplica",Mercado_Receita!$L$2:$L$241)</f>
        <v>0</v>
      </c>
      <c r="O26" s="13">
        <f>SUMIF(Mercado_Receita!$S$2:$S$241,"44562B1Convencional pré-pagamentoResidencialResidencial baixa renda – faixa 04Não se aplicaNão se aplicaPonta",Mercado_Receita!$L$2:$L$241)+SUMIF(Mercado_Receita!$S$2:$S$241,"44562B1Convencional pré-pagamentoResidencialResidencial baixa renda – faixa 04Não se aplicaNão se aplicaFora ponta",Mercado_Receita!$L$2:$L$241)+SUMIF(Mercado_Receita!$S$2:$S$241,"44562B1Convencional pré-pagamentoResidencialResidencial baixa renda – faixa 04Não se aplicaNão se aplicaIntermediário",Mercado_Receita!$L$2:$L$241)+SUMIF(Mercado_Receita!$S$2:$S$241,"44562B1Convencional pré-pagamentoResidencialResidencial baixa renda – faixa 04Não se aplicaNão se aplicaNão se aplica",Mercado_Receita!$L$2:$L$241)</f>
        <v>0</v>
      </c>
      <c r="P26" s="13">
        <f>SUMIF(Mercado_Receita!$S$2:$S$241,"44593B1Convencional pré-pagamentoResidencialResidencial baixa renda – faixa 04Não se aplicaNão se aplicaPonta",Mercado_Receita!$L$2:$L$241)+SUMIF(Mercado_Receita!$S$2:$S$241,"44593B1Convencional pré-pagamentoResidencialResidencial baixa renda – faixa 04Não se aplicaNão se aplicaFora ponta",Mercado_Receita!$L$2:$L$241)+SUMIF(Mercado_Receita!$S$2:$S$241,"44593B1Convencional pré-pagamentoResidencialResidencial baixa renda – faixa 04Não se aplicaNão se aplicaIntermediário",Mercado_Receita!$L$2:$L$241)+SUMIF(Mercado_Receita!$S$2:$S$241,"44593B1Convencional pré-pagamentoResidencialResidencial baixa renda – faixa 04Não se aplicaNão se aplicaNão se aplica",Mercado_Receita!$L$2:$L$241)</f>
        <v>0</v>
      </c>
      <c r="Q26" s="13">
        <f>SUMIF(Mercado_Receita!$S$2:$S$241,"44621B1Convencional pré-pagamentoResidencialResidencial baixa renda – faixa 04Não se aplicaNão se aplicaPonta",Mercado_Receita!$L$2:$L$241)+SUMIF(Mercado_Receita!$S$2:$S$241,"44621B1Convencional pré-pagamentoResidencialResidencial baixa renda – faixa 04Não se aplicaNão se aplicaFora ponta",Mercado_Receita!$L$2:$L$241)+SUMIF(Mercado_Receita!$S$2:$S$241,"44621B1Convencional pré-pagamentoResidencialResidencial baixa renda – faixa 04Não se aplicaNão se aplicaIntermediário",Mercado_Receita!$L$2:$L$241)+SUMIF(Mercado_Receita!$S$2:$S$241,"44621B1Convencional pré-pagamentoResidencialResidencial baixa renda – faixa 04Não se aplicaNão se aplicaNão se aplica",Mercado_Receita!$L$2:$L$241)</f>
        <v>0</v>
      </c>
      <c r="R26" s="13">
        <f>SUMIF(Mercado_Receita!$S$2:$S$241,"44652B1Convencional pré-pagamentoResidencialResidencial baixa renda – faixa 04Não se aplicaNão se aplicaPonta",Mercado_Receita!$L$2:$L$241)+SUMIF(Mercado_Receita!$S$2:$S$241,"44652B1Convencional pré-pagamentoResidencialResidencial baixa renda – faixa 04Não se aplicaNão se aplicaFora ponta",Mercado_Receita!$L$2:$L$241)+SUMIF(Mercado_Receita!$S$2:$S$241,"44652B1Convencional pré-pagamentoResidencialResidencial baixa renda – faixa 04Não se aplicaNão se aplicaIntermediário",Mercado_Receita!$L$2:$L$241)+SUMIF(Mercado_Receita!$S$2:$S$241,"44652B1Convencional pré-pagamentoResidencialResidencial baixa renda – faixa 04Não se aplicaNão se aplicaNão se aplica",Mercado_Receita!$L$2:$L$241)</f>
        <v>0</v>
      </c>
      <c r="S26" s="13">
        <f>SUMIF(Mercado_Receita!$S$2:$S$241,"44682B1Convencional pré-pagamentoResidencialResidencial baixa renda – faixa 04Não se aplicaNão se aplicaPonta",Mercado_Receita!$L$2:$L$241)+SUMIF(Mercado_Receita!$S$2:$S$241,"44682B1Convencional pré-pagamentoResidencialResidencial baixa renda – faixa 04Não se aplicaNão se aplicaFora ponta",Mercado_Receita!$L$2:$L$241)+SUMIF(Mercado_Receita!$S$2:$S$241,"44682B1Convencional pré-pagamentoResidencialResidencial baixa renda – faixa 04Não se aplicaNão se aplicaIntermediário",Mercado_Receita!$L$2:$L$241)+SUMIF(Mercado_Receita!$S$2:$S$241,"44682B1Convencional pré-pagamentoResidencialResidencial baixa renda – faixa 04Não se aplicaNão se aplicaNão se aplica",Mercado_Receita!$L$2:$L$241)</f>
        <v>0</v>
      </c>
      <c r="T26" s="13">
        <f>SUMIF(Mercado_Receita!$S$2:$S$241,"44713B1Convencional pré-pagamentoResidencialResidencial baixa renda – faixa 04Não se aplicaNão se aplicaPonta",Mercado_Receita!$L$2:$L$241)+SUMIF(Mercado_Receita!$S$2:$S$241,"44713B1Convencional pré-pagamentoResidencialResidencial baixa renda – faixa 04Não se aplicaNão se aplicaFora ponta",Mercado_Receita!$L$2:$L$241)+SUMIF(Mercado_Receita!$S$2:$S$241,"44713B1Convencional pré-pagamentoResidencialResidencial baixa renda – faixa 04Não se aplicaNão se aplicaIntermediário",Mercado_Receita!$L$2:$L$241)+SUMIF(Mercado_Receita!$S$2:$S$241,"44713B1Convencional pré-pagamentoResidencialResidencial baixa renda – faixa 04Não se aplicaNão se aplicaNão se aplica",Mercado_Receita!$L$2:$L$241)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87" t="s">
        <v>41</v>
      </c>
      <c r="B27" s="87" t="s">
        <v>33</v>
      </c>
      <c r="C27" s="87" t="s">
        <v>42</v>
      </c>
      <c r="D27" s="87" t="s">
        <v>25</v>
      </c>
      <c r="E27" s="87" t="s">
        <v>25</v>
      </c>
      <c r="F27" s="87" t="s">
        <v>25</v>
      </c>
      <c r="G27" s="13" t="s">
        <v>67</v>
      </c>
      <c r="H27" s="13" t="s">
        <v>66</v>
      </c>
      <c r="I27" s="13">
        <f>SUMIF(Mercado_Receita!$S$2:$S$241,"44378B2BrancaRuralNão se aplicaNão se aplicaNão se aplicaPonta",Mercado_Receita!$L$2:$L$241)</f>
        <v>0</v>
      </c>
      <c r="J27" s="13">
        <f>SUMIF(Mercado_Receita!$S$2:$S$241,"44409B2BrancaRuralNão se aplicaNão se aplicaNão se aplicaPonta",Mercado_Receita!$L$2:$L$241)</f>
        <v>0</v>
      </c>
      <c r="K27" s="13">
        <f>SUMIF(Mercado_Receita!$S$2:$S$241,"44440B2BrancaRuralNão se aplicaNão se aplicaNão se aplicaPonta",Mercado_Receita!$L$2:$L$241)</f>
        <v>0</v>
      </c>
      <c r="L27" s="13">
        <f>SUMIF(Mercado_Receita!$S$2:$S$241,"44470B2BrancaRuralNão se aplicaNão se aplicaNão se aplicaPonta",Mercado_Receita!$L$2:$L$241)</f>
        <v>0</v>
      </c>
      <c r="M27" s="13">
        <f>SUMIF(Mercado_Receita!$S$2:$S$241,"44501B2BrancaRuralNão se aplicaNão se aplicaNão se aplicaPonta",Mercado_Receita!$L$2:$L$241)</f>
        <v>0</v>
      </c>
      <c r="N27" s="13">
        <f>SUMIF(Mercado_Receita!$S$2:$S$241,"44531B2BrancaRuralNão se aplicaNão se aplicaNão se aplicaPonta",Mercado_Receita!$L$2:$L$241)</f>
        <v>0</v>
      </c>
      <c r="O27" s="13">
        <f>SUMIF(Mercado_Receita!$S$2:$S$241,"44562B2BrancaRuralNão se aplicaNão se aplicaNão se aplicaPonta",Mercado_Receita!$L$2:$L$241)</f>
        <v>0</v>
      </c>
      <c r="P27" s="13">
        <f>SUMIF(Mercado_Receita!$S$2:$S$241,"44593B2BrancaRuralNão se aplicaNão se aplicaNão se aplicaPonta",Mercado_Receita!$L$2:$L$241)</f>
        <v>0</v>
      </c>
      <c r="Q27" s="13">
        <f>SUMIF(Mercado_Receita!$S$2:$S$241,"44621B2BrancaRuralNão se aplicaNão se aplicaNão se aplicaPonta",Mercado_Receita!$L$2:$L$241)</f>
        <v>0</v>
      </c>
      <c r="R27" s="13">
        <f>SUMIF(Mercado_Receita!$S$2:$S$241,"44652B2BrancaRuralNão se aplicaNão se aplicaNão se aplicaPonta",Mercado_Receita!$L$2:$L$241)</f>
        <v>0</v>
      </c>
      <c r="S27" s="13">
        <f>SUMIF(Mercado_Receita!$S$2:$S$241,"44682B2BrancaRuralNão se aplicaNão se aplicaNão se aplicaPonta",Mercado_Receita!$L$2:$L$241)</f>
        <v>0</v>
      </c>
      <c r="T27" s="13">
        <f>SUMIF(Mercado_Receita!$S$2:$S$241,"44713B2BrancaRuralNão se aplicaNão se aplicaNão se aplicaPonta",Mercado_Receita!$L$2:$L$241)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88"/>
      <c r="B28" s="88"/>
      <c r="C28" s="88"/>
      <c r="D28" s="88"/>
      <c r="E28" s="88"/>
      <c r="F28" s="88"/>
      <c r="G28" s="13" t="s">
        <v>80</v>
      </c>
      <c r="H28" s="13" t="s">
        <v>66</v>
      </c>
      <c r="I28" s="13">
        <f>SUMIF(Mercado_Receita!$S$2:$S$241,"44378B2BrancaRuralNão se aplicaNão se aplicaNão se aplicaIntermediário",Mercado_Receita!$L$2:$L$241)</f>
        <v>0</v>
      </c>
      <c r="J28" s="13">
        <f>SUMIF(Mercado_Receita!$S$2:$S$241,"44409B2BrancaRuralNão se aplicaNão se aplicaNão se aplicaIntermediário",Mercado_Receita!$L$2:$L$241)</f>
        <v>0</v>
      </c>
      <c r="K28" s="13">
        <f>SUMIF(Mercado_Receita!$S$2:$S$241,"44440B2BrancaRuralNão se aplicaNão se aplicaNão se aplicaIntermediário",Mercado_Receita!$L$2:$L$241)</f>
        <v>0</v>
      </c>
      <c r="L28" s="13">
        <f>SUMIF(Mercado_Receita!$S$2:$S$241,"44470B2BrancaRuralNão se aplicaNão se aplicaNão se aplicaIntermediário",Mercado_Receita!$L$2:$L$241)</f>
        <v>0</v>
      </c>
      <c r="M28" s="13">
        <f>SUMIF(Mercado_Receita!$S$2:$S$241,"44501B2BrancaRuralNão se aplicaNão se aplicaNão se aplicaIntermediário",Mercado_Receita!$L$2:$L$241)</f>
        <v>0</v>
      </c>
      <c r="N28" s="13">
        <f>SUMIF(Mercado_Receita!$S$2:$S$241,"44531B2BrancaRuralNão se aplicaNão se aplicaNão se aplicaIntermediário",Mercado_Receita!$L$2:$L$241)</f>
        <v>0</v>
      </c>
      <c r="O28" s="13">
        <f>SUMIF(Mercado_Receita!$S$2:$S$241,"44562B2BrancaRuralNão se aplicaNão se aplicaNão se aplicaIntermediário",Mercado_Receita!$L$2:$L$241)</f>
        <v>0</v>
      </c>
      <c r="P28" s="13">
        <f>SUMIF(Mercado_Receita!$S$2:$S$241,"44593B2BrancaRuralNão se aplicaNão se aplicaNão se aplicaIntermediário",Mercado_Receita!$L$2:$L$241)</f>
        <v>0</v>
      </c>
      <c r="Q28" s="13">
        <f>SUMIF(Mercado_Receita!$S$2:$S$241,"44621B2BrancaRuralNão se aplicaNão se aplicaNão se aplicaIntermediário",Mercado_Receita!$L$2:$L$241)</f>
        <v>0</v>
      </c>
      <c r="R28" s="13">
        <f>SUMIF(Mercado_Receita!$S$2:$S$241,"44652B2BrancaRuralNão se aplicaNão se aplicaNão se aplicaIntermediário",Mercado_Receita!$L$2:$L$241)</f>
        <v>0</v>
      </c>
      <c r="S28" s="13">
        <f>SUMIF(Mercado_Receita!$S$2:$S$241,"44682B2BrancaRuralNão se aplicaNão se aplicaNão se aplicaIntermediário",Mercado_Receita!$L$2:$L$241)</f>
        <v>0</v>
      </c>
      <c r="T28" s="13">
        <f>SUMIF(Mercado_Receita!$S$2:$S$241,"44713B2BrancaRuralNão se aplicaNão se aplicaNão se aplicaIntermediário",Mercado_Receita!$L$2:$L$241)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88"/>
      <c r="B29" s="88"/>
      <c r="C29" s="88"/>
      <c r="D29" s="88"/>
      <c r="E29" s="88"/>
      <c r="F29" s="88"/>
      <c r="G29" s="13" t="s">
        <v>68</v>
      </c>
      <c r="H29" s="13" t="s">
        <v>66</v>
      </c>
      <c r="I29" s="13">
        <f>SUMIF(Mercado_Receita!$S$2:$S$241,"44378B2BrancaRuralNão se aplicaNão se aplicaNão se aplicaFora ponta",Mercado_Receita!$L$2:$L$241)</f>
        <v>0</v>
      </c>
      <c r="J29" s="13">
        <f>SUMIF(Mercado_Receita!$S$2:$S$241,"44409B2BrancaRuralNão se aplicaNão se aplicaNão se aplicaFora ponta",Mercado_Receita!$L$2:$L$241)</f>
        <v>0</v>
      </c>
      <c r="K29" s="13">
        <f>SUMIF(Mercado_Receita!$S$2:$S$241,"44440B2BrancaRuralNão se aplicaNão se aplicaNão se aplicaFora ponta",Mercado_Receita!$L$2:$L$241)</f>
        <v>0</v>
      </c>
      <c r="L29" s="13">
        <f>SUMIF(Mercado_Receita!$S$2:$S$241,"44470B2BrancaRuralNão se aplicaNão se aplicaNão se aplicaFora ponta",Mercado_Receita!$L$2:$L$241)</f>
        <v>0</v>
      </c>
      <c r="M29" s="13">
        <f>SUMIF(Mercado_Receita!$S$2:$S$241,"44501B2BrancaRuralNão se aplicaNão se aplicaNão se aplicaFora ponta",Mercado_Receita!$L$2:$L$241)</f>
        <v>0</v>
      </c>
      <c r="N29" s="13">
        <f>SUMIF(Mercado_Receita!$S$2:$S$241,"44531B2BrancaRuralNão se aplicaNão se aplicaNão se aplicaFora ponta",Mercado_Receita!$L$2:$L$241)</f>
        <v>0</v>
      </c>
      <c r="O29" s="13">
        <f>SUMIF(Mercado_Receita!$S$2:$S$241,"44562B2BrancaRuralNão se aplicaNão se aplicaNão se aplicaFora ponta",Mercado_Receita!$L$2:$L$241)</f>
        <v>0</v>
      </c>
      <c r="P29" s="13">
        <f>SUMIF(Mercado_Receita!$S$2:$S$241,"44593B2BrancaRuralNão se aplicaNão se aplicaNão se aplicaFora ponta",Mercado_Receita!$L$2:$L$241)</f>
        <v>0</v>
      </c>
      <c r="Q29" s="13">
        <f>SUMIF(Mercado_Receita!$S$2:$S$241,"44621B2BrancaRuralNão se aplicaNão se aplicaNão se aplicaFora ponta",Mercado_Receita!$L$2:$L$241)</f>
        <v>0</v>
      </c>
      <c r="R29" s="13">
        <f>SUMIF(Mercado_Receita!$S$2:$S$241,"44652B2BrancaRuralNão se aplicaNão se aplicaNão se aplicaFora ponta",Mercado_Receita!$L$2:$L$241)</f>
        <v>0</v>
      </c>
      <c r="S29" s="13">
        <f>SUMIF(Mercado_Receita!$S$2:$S$241,"44682B2BrancaRuralNão se aplicaNão se aplicaNão se aplicaFora ponta",Mercado_Receita!$L$2:$L$241)</f>
        <v>0</v>
      </c>
      <c r="T29" s="13">
        <f>SUMIF(Mercado_Receita!$S$2:$S$241,"44713B2BrancaRuralNão se aplicaNão se aplicaNão se aplicaFora ponta",Mercado_Receita!$L$2:$L$241)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88"/>
      <c r="B30" s="12" t="s">
        <v>23</v>
      </c>
      <c r="C30" s="12" t="s">
        <v>42</v>
      </c>
      <c r="D30" s="12" t="s">
        <v>25</v>
      </c>
      <c r="E30" s="12" t="s">
        <v>25</v>
      </c>
      <c r="F30" s="12" t="s">
        <v>25</v>
      </c>
      <c r="G30" s="13" t="s">
        <v>70</v>
      </c>
      <c r="H30" s="13" t="s">
        <v>66</v>
      </c>
      <c r="I30" s="13">
        <f>SUMIF(Mercado_Receita!$S$2:$S$241,"44378B2ConvencionalRuralNão se aplicaNão se aplicaNão se aplicaPonta",Mercado_Receita!$L$2:$L$241)+SUMIF(Mercado_Receita!$S$2:$S$241,"44378B2ConvencionalRuralNão se aplicaNão se aplicaNão se aplicaFora ponta",Mercado_Receita!$L$2:$L$241)+SUMIF(Mercado_Receita!$S$2:$S$241,"44378B2ConvencionalRuralNão se aplicaNão se aplicaNão se aplicaIntermediário",Mercado_Receita!$L$2:$L$241)+SUMIF(Mercado_Receita!$S$2:$S$241,"44378B2ConvencionalRuralNão se aplicaNão se aplicaNão se aplicaNão se aplica",Mercado_Receita!$L$2:$L$241)</f>
        <v>54.207999999999998</v>
      </c>
      <c r="J30" s="13">
        <f>SUMIF(Mercado_Receita!$S$2:$S$241,"44409B2ConvencionalRuralNão se aplicaNão se aplicaNão se aplicaPonta",Mercado_Receita!$L$2:$L$241)+SUMIF(Mercado_Receita!$S$2:$S$241,"44409B2ConvencionalRuralNão se aplicaNão se aplicaNão se aplicaFora ponta",Mercado_Receita!$L$2:$L$241)+SUMIF(Mercado_Receita!$S$2:$S$241,"44409B2ConvencionalRuralNão se aplicaNão se aplicaNão se aplicaIntermediário",Mercado_Receita!$L$2:$L$241)+SUMIF(Mercado_Receita!$S$2:$S$241,"44409B2ConvencionalRuralNão se aplicaNão se aplicaNão se aplicaNão se aplica",Mercado_Receita!$L$2:$L$241)</f>
        <v>59.506</v>
      </c>
      <c r="K30" s="13">
        <f>SUMIF(Mercado_Receita!$S$2:$S$241,"44440B2ConvencionalRuralNão se aplicaNão se aplicaNão se aplicaPonta",Mercado_Receita!$L$2:$L$241)+SUMIF(Mercado_Receita!$S$2:$S$241,"44440B2ConvencionalRuralNão se aplicaNão se aplicaNão se aplicaFora ponta",Mercado_Receita!$L$2:$L$241)+SUMIF(Mercado_Receita!$S$2:$S$241,"44440B2ConvencionalRuralNão se aplicaNão se aplicaNão se aplicaIntermediário",Mercado_Receita!$L$2:$L$241)+SUMIF(Mercado_Receita!$S$2:$S$241,"44440B2ConvencionalRuralNão se aplicaNão se aplicaNão se aplicaNão se aplica",Mercado_Receita!$L$2:$L$241)</f>
        <v>56.250999999999998</v>
      </c>
      <c r="L30" s="13">
        <f>SUMIF(Mercado_Receita!$S$2:$S$241,"44470B2ConvencionalRuralNão se aplicaNão se aplicaNão se aplicaPonta",Mercado_Receita!$L$2:$L$241)+SUMIF(Mercado_Receita!$S$2:$S$241,"44470B2ConvencionalRuralNão se aplicaNão se aplicaNão se aplicaFora ponta",Mercado_Receita!$L$2:$L$241)+SUMIF(Mercado_Receita!$S$2:$S$241,"44470B2ConvencionalRuralNão se aplicaNão se aplicaNão se aplicaIntermediário",Mercado_Receita!$L$2:$L$241)+SUMIF(Mercado_Receita!$S$2:$S$241,"44470B2ConvencionalRuralNão se aplicaNão se aplicaNão se aplicaNão se aplica",Mercado_Receita!$L$2:$L$241)</f>
        <v>56.595999999999997</v>
      </c>
      <c r="M30" s="13">
        <f>SUMIF(Mercado_Receita!$S$2:$S$241,"44501B2ConvencionalRuralNão se aplicaNão se aplicaNão se aplicaPonta",Mercado_Receita!$L$2:$L$241)+SUMIF(Mercado_Receita!$S$2:$S$241,"44501B2ConvencionalRuralNão se aplicaNão se aplicaNão se aplicaFora ponta",Mercado_Receita!$L$2:$L$241)+SUMIF(Mercado_Receita!$S$2:$S$241,"44501B2ConvencionalRuralNão se aplicaNão se aplicaNão se aplicaIntermediário",Mercado_Receita!$L$2:$L$241)+SUMIF(Mercado_Receita!$S$2:$S$241,"44501B2ConvencionalRuralNão se aplicaNão se aplicaNão se aplicaNão se aplica",Mercado_Receita!$L$2:$L$241)</f>
        <v>53.649000000000001</v>
      </c>
      <c r="N30" s="13">
        <f>SUMIF(Mercado_Receita!$S$2:$S$241,"44531B2ConvencionalRuralNão se aplicaNão se aplicaNão se aplicaPonta",Mercado_Receita!$L$2:$L$241)+SUMIF(Mercado_Receita!$S$2:$S$241,"44531B2ConvencionalRuralNão se aplicaNão se aplicaNão se aplicaFora ponta",Mercado_Receita!$L$2:$L$241)+SUMIF(Mercado_Receita!$S$2:$S$241,"44531B2ConvencionalRuralNão se aplicaNão se aplicaNão se aplicaIntermediário",Mercado_Receita!$L$2:$L$241)+SUMIF(Mercado_Receita!$S$2:$S$241,"44531B2ConvencionalRuralNão se aplicaNão se aplicaNão se aplicaNão se aplica",Mercado_Receita!$L$2:$L$241)</f>
        <v>56.908999999999999</v>
      </c>
      <c r="O30" s="13">
        <f>SUMIF(Mercado_Receita!$S$2:$S$241,"44562B2ConvencionalRuralNão se aplicaNão se aplicaNão se aplicaPonta",Mercado_Receita!$L$2:$L$241)+SUMIF(Mercado_Receita!$S$2:$S$241,"44562B2ConvencionalRuralNão se aplicaNão se aplicaNão se aplicaFora ponta",Mercado_Receita!$L$2:$L$241)+SUMIF(Mercado_Receita!$S$2:$S$241,"44562B2ConvencionalRuralNão se aplicaNão se aplicaNão se aplicaIntermediário",Mercado_Receita!$L$2:$L$241)+SUMIF(Mercado_Receita!$S$2:$S$241,"44562B2ConvencionalRuralNão se aplicaNão se aplicaNão se aplicaNão se aplica",Mercado_Receita!$L$2:$L$241)</f>
        <v>59.033999999999999</v>
      </c>
      <c r="P30" s="13">
        <f>SUMIF(Mercado_Receita!$S$2:$S$241,"44593B2ConvencionalRuralNão se aplicaNão se aplicaNão se aplicaPonta",Mercado_Receita!$L$2:$L$241)+SUMIF(Mercado_Receita!$S$2:$S$241,"44593B2ConvencionalRuralNão se aplicaNão se aplicaNão se aplicaFora ponta",Mercado_Receita!$L$2:$L$241)+SUMIF(Mercado_Receita!$S$2:$S$241,"44593B2ConvencionalRuralNão se aplicaNão se aplicaNão se aplicaIntermediário",Mercado_Receita!$L$2:$L$241)+SUMIF(Mercado_Receita!$S$2:$S$241,"44593B2ConvencionalRuralNão se aplicaNão se aplicaNão se aplicaNão se aplica",Mercado_Receita!$L$2:$L$241)</f>
        <v>61.715000000000003</v>
      </c>
      <c r="Q30" s="13">
        <f>SUMIF(Mercado_Receita!$S$2:$S$241,"44621B2ConvencionalRuralNão se aplicaNão se aplicaNão se aplicaPonta",Mercado_Receita!$L$2:$L$241)+SUMIF(Mercado_Receita!$S$2:$S$241,"44621B2ConvencionalRuralNão se aplicaNão se aplicaNão se aplicaFora ponta",Mercado_Receita!$L$2:$L$241)+SUMIF(Mercado_Receita!$S$2:$S$241,"44621B2ConvencionalRuralNão se aplicaNão se aplicaNão se aplicaIntermediário",Mercado_Receita!$L$2:$L$241)+SUMIF(Mercado_Receita!$S$2:$S$241,"44621B2ConvencionalRuralNão se aplicaNão se aplicaNão se aplicaNão se aplica",Mercado_Receita!$L$2:$L$241)</f>
        <v>53.499000000000002</v>
      </c>
      <c r="R30" s="13">
        <f>SUMIF(Mercado_Receita!$S$2:$S$241,"44652B2ConvencionalRuralNão se aplicaNão se aplicaNão se aplicaPonta",Mercado_Receita!$L$2:$L$241)+SUMIF(Mercado_Receita!$S$2:$S$241,"44652B2ConvencionalRuralNão se aplicaNão se aplicaNão se aplicaFora ponta",Mercado_Receita!$L$2:$L$241)+SUMIF(Mercado_Receita!$S$2:$S$241,"44652B2ConvencionalRuralNão se aplicaNão se aplicaNão se aplicaIntermediário",Mercado_Receita!$L$2:$L$241)+SUMIF(Mercado_Receita!$S$2:$S$241,"44652B2ConvencionalRuralNão se aplicaNão se aplicaNão se aplicaNão se aplica",Mercado_Receita!$L$2:$L$241)</f>
        <v>53.904000000000003</v>
      </c>
      <c r="S30" s="13">
        <f>SUMIF(Mercado_Receita!$S$2:$S$241,"44682B2ConvencionalRuralNão se aplicaNão se aplicaNão se aplicaPonta",Mercado_Receita!$L$2:$L$241)+SUMIF(Mercado_Receita!$S$2:$S$241,"44682B2ConvencionalRuralNão se aplicaNão se aplicaNão se aplicaFora ponta",Mercado_Receita!$L$2:$L$241)+SUMIF(Mercado_Receita!$S$2:$S$241,"44682B2ConvencionalRuralNão se aplicaNão se aplicaNão se aplicaIntermediário",Mercado_Receita!$L$2:$L$241)+SUMIF(Mercado_Receita!$S$2:$S$241,"44682B2ConvencionalRuralNão se aplicaNão se aplicaNão se aplicaNão se aplica",Mercado_Receita!$L$2:$L$241)</f>
        <v>54.615000000000002</v>
      </c>
      <c r="T30" s="13">
        <f>SUMIF(Mercado_Receita!$S$2:$S$241,"44713B2ConvencionalRuralNão se aplicaNão se aplicaNão se aplicaPonta",Mercado_Receita!$L$2:$L$241)+SUMIF(Mercado_Receita!$S$2:$S$241,"44713B2ConvencionalRuralNão se aplicaNão se aplicaNão se aplicaFora ponta",Mercado_Receita!$L$2:$L$241)+SUMIF(Mercado_Receita!$S$2:$S$241,"44713B2ConvencionalRuralNão se aplicaNão se aplicaNão se aplicaIntermediário",Mercado_Receita!$L$2:$L$241)+SUMIF(Mercado_Receita!$S$2:$S$241,"44713B2ConvencionalRuralNão se aplicaNão se aplicaNão se aplicaNão se aplica",Mercado_Receita!$L$2:$L$241)</f>
        <v>54.838000000000001</v>
      </c>
      <c r="U30" s="13">
        <f t="shared" si="0"/>
        <v>674.72400000000005</v>
      </c>
      <c r="V30" s="13"/>
      <c r="W30" s="13"/>
    </row>
    <row r="31" spans="1:23" ht="11.25" customHeight="1" x14ac:dyDescent="0.25">
      <c r="A31" s="88"/>
      <c r="B31" s="87" t="s">
        <v>33</v>
      </c>
      <c r="C31" s="87" t="s">
        <v>42</v>
      </c>
      <c r="D31" s="87" t="s">
        <v>83</v>
      </c>
      <c r="E31" s="87" t="s">
        <v>25</v>
      </c>
      <c r="F31" s="87" t="s">
        <v>25</v>
      </c>
      <c r="G31" s="13" t="s">
        <v>67</v>
      </c>
      <c r="H31" s="13" t="s">
        <v>66</v>
      </c>
      <c r="I31" s="13">
        <f>SUMIF(Mercado_Receita!$S$2:$S$241,"44378B2BrancaRuralCooperativa de eletrificação ruralNão se aplicaNão se aplicaPonta",Mercado_Receita!$L$2:$L$241)</f>
        <v>0</v>
      </c>
      <c r="J31" s="13">
        <f>SUMIF(Mercado_Receita!$S$2:$S$241,"44409B2BrancaRuralCooperativa de eletrificação ruralNão se aplicaNão se aplicaPonta",Mercado_Receita!$L$2:$L$241)</f>
        <v>0</v>
      </c>
      <c r="K31" s="13">
        <f>SUMIF(Mercado_Receita!$S$2:$S$241,"44440B2BrancaRuralCooperativa de eletrificação ruralNão se aplicaNão se aplicaPonta",Mercado_Receita!$L$2:$L$241)</f>
        <v>0</v>
      </c>
      <c r="L31" s="13">
        <f>SUMIF(Mercado_Receita!$S$2:$S$241,"44470B2BrancaRuralCooperativa de eletrificação ruralNão se aplicaNão se aplicaPonta",Mercado_Receita!$L$2:$L$241)</f>
        <v>0</v>
      </c>
      <c r="M31" s="13">
        <f>SUMIF(Mercado_Receita!$S$2:$S$241,"44501B2BrancaRuralCooperativa de eletrificação ruralNão se aplicaNão se aplicaPonta",Mercado_Receita!$L$2:$L$241)</f>
        <v>0</v>
      </c>
      <c r="N31" s="13">
        <f>SUMIF(Mercado_Receita!$S$2:$S$241,"44531B2BrancaRuralCooperativa de eletrificação ruralNão se aplicaNão se aplicaPonta",Mercado_Receita!$L$2:$L$241)</f>
        <v>0</v>
      </c>
      <c r="O31" s="13">
        <f>SUMIF(Mercado_Receita!$S$2:$S$241,"44562B2BrancaRuralCooperativa de eletrificação ruralNão se aplicaNão se aplicaPonta",Mercado_Receita!$L$2:$L$241)</f>
        <v>0</v>
      </c>
      <c r="P31" s="13">
        <f>SUMIF(Mercado_Receita!$S$2:$S$241,"44593B2BrancaRuralCooperativa de eletrificação ruralNão se aplicaNão se aplicaPonta",Mercado_Receita!$L$2:$L$241)</f>
        <v>0</v>
      </c>
      <c r="Q31" s="13">
        <f>SUMIF(Mercado_Receita!$S$2:$S$241,"44621B2BrancaRuralCooperativa de eletrificação ruralNão se aplicaNão se aplicaPonta",Mercado_Receita!$L$2:$L$241)</f>
        <v>0</v>
      </c>
      <c r="R31" s="13">
        <f>SUMIF(Mercado_Receita!$S$2:$S$241,"44652B2BrancaRuralCooperativa de eletrificação ruralNão se aplicaNão se aplicaPonta",Mercado_Receita!$L$2:$L$241)</f>
        <v>0</v>
      </c>
      <c r="S31" s="13">
        <f>SUMIF(Mercado_Receita!$S$2:$S$241,"44682B2BrancaRuralCooperativa de eletrificação ruralNão se aplicaNão se aplicaPonta",Mercado_Receita!$L$2:$L$241)</f>
        <v>0</v>
      </c>
      <c r="T31" s="13">
        <f>SUMIF(Mercado_Receita!$S$2:$S$241,"44713B2BrancaRuralCooperativa de eletrificação ruralNão se aplicaNão se aplicaPonta",Mercado_Receita!$L$2:$L$241)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88"/>
      <c r="B32" s="88"/>
      <c r="C32" s="88"/>
      <c r="D32" s="88"/>
      <c r="E32" s="88"/>
      <c r="F32" s="88"/>
      <c r="G32" s="13" t="s">
        <v>80</v>
      </c>
      <c r="H32" s="13" t="s">
        <v>66</v>
      </c>
      <c r="I32" s="13">
        <f>SUMIF(Mercado_Receita!$S$2:$S$241,"44378B2BrancaRuralCooperativa de eletrificação ruralNão se aplicaNão se aplicaIntermediário",Mercado_Receita!$L$2:$L$241)</f>
        <v>0</v>
      </c>
      <c r="J32" s="13">
        <f>SUMIF(Mercado_Receita!$S$2:$S$241,"44409B2BrancaRuralCooperativa de eletrificação ruralNão se aplicaNão se aplicaIntermediário",Mercado_Receita!$L$2:$L$241)</f>
        <v>0</v>
      </c>
      <c r="K32" s="13">
        <f>SUMIF(Mercado_Receita!$S$2:$S$241,"44440B2BrancaRuralCooperativa de eletrificação ruralNão se aplicaNão se aplicaIntermediário",Mercado_Receita!$L$2:$L$241)</f>
        <v>0</v>
      </c>
      <c r="L32" s="13">
        <f>SUMIF(Mercado_Receita!$S$2:$S$241,"44470B2BrancaRuralCooperativa de eletrificação ruralNão se aplicaNão se aplicaIntermediário",Mercado_Receita!$L$2:$L$241)</f>
        <v>0</v>
      </c>
      <c r="M32" s="13">
        <f>SUMIF(Mercado_Receita!$S$2:$S$241,"44501B2BrancaRuralCooperativa de eletrificação ruralNão se aplicaNão se aplicaIntermediário",Mercado_Receita!$L$2:$L$241)</f>
        <v>0</v>
      </c>
      <c r="N32" s="13">
        <f>SUMIF(Mercado_Receita!$S$2:$S$241,"44531B2BrancaRuralCooperativa de eletrificação ruralNão se aplicaNão se aplicaIntermediário",Mercado_Receita!$L$2:$L$241)</f>
        <v>0</v>
      </c>
      <c r="O32" s="13">
        <f>SUMIF(Mercado_Receita!$S$2:$S$241,"44562B2BrancaRuralCooperativa de eletrificação ruralNão se aplicaNão se aplicaIntermediário",Mercado_Receita!$L$2:$L$241)</f>
        <v>0</v>
      </c>
      <c r="P32" s="13">
        <f>SUMIF(Mercado_Receita!$S$2:$S$241,"44593B2BrancaRuralCooperativa de eletrificação ruralNão se aplicaNão se aplicaIntermediário",Mercado_Receita!$L$2:$L$241)</f>
        <v>0</v>
      </c>
      <c r="Q32" s="13">
        <f>SUMIF(Mercado_Receita!$S$2:$S$241,"44621B2BrancaRuralCooperativa de eletrificação ruralNão se aplicaNão se aplicaIntermediário",Mercado_Receita!$L$2:$L$241)</f>
        <v>0</v>
      </c>
      <c r="R32" s="13">
        <f>SUMIF(Mercado_Receita!$S$2:$S$241,"44652B2BrancaRuralCooperativa de eletrificação ruralNão se aplicaNão se aplicaIntermediário",Mercado_Receita!$L$2:$L$241)</f>
        <v>0</v>
      </c>
      <c r="S32" s="13">
        <f>SUMIF(Mercado_Receita!$S$2:$S$241,"44682B2BrancaRuralCooperativa de eletrificação ruralNão se aplicaNão se aplicaIntermediário",Mercado_Receita!$L$2:$L$241)</f>
        <v>0</v>
      </c>
      <c r="T32" s="13">
        <f>SUMIF(Mercado_Receita!$S$2:$S$241,"44713B2BrancaRuralCooperativa de eletrificação ruralNão se aplicaNão se aplicaIntermediário",Mercado_Receita!$L$2:$L$241)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88"/>
      <c r="B33" s="88"/>
      <c r="C33" s="88"/>
      <c r="D33" s="88"/>
      <c r="E33" s="88"/>
      <c r="F33" s="88"/>
      <c r="G33" s="13" t="s">
        <v>68</v>
      </c>
      <c r="H33" s="13" t="s">
        <v>66</v>
      </c>
      <c r="I33" s="13">
        <f>SUMIF(Mercado_Receita!$S$2:$S$241,"44378B2BrancaRuralCooperativa de eletrificação ruralNão se aplicaNão se aplicaFora ponta",Mercado_Receita!$L$2:$L$241)</f>
        <v>0</v>
      </c>
      <c r="J33" s="13">
        <f>SUMIF(Mercado_Receita!$S$2:$S$241,"44409B2BrancaRuralCooperativa de eletrificação ruralNão se aplicaNão se aplicaFora ponta",Mercado_Receita!$L$2:$L$241)</f>
        <v>0</v>
      </c>
      <c r="K33" s="13">
        <f>SUMIF(Mercado_Receita!$S$2:$S$241,"44440B2BrancaRuralCooperativa de eletrificação ruralNão se aplicaNão se aplicaFora ponta",Mercado_Receita!$L$2:$L$241)</f>
        <v>0</v>
      </c>
      <c r="L33" s="13">
        <f>SUMIF(Mercado_Receita!$S$2:$S$241,"44470B2BrancaRuralCooperativa de eletrificação ruralNão se aplicaNão se aplicaFora ponta",Mercado_Receita!$L$2:$L$241)</f>
        <v>0</v>
      </c>
      <c r="M33" s="13">
        <f>SUMIF(Mercado_Receita!$S$2:$S$241,"44501B2BrancaRuralCooperativa de eletrificação ruralNão se aplicaNão se aplicaFora ponta",Mercado_Receita!$L$2:$L$241)</f>
        <v>0</v>
      </c>
      <c r="N33" s="13">
        <f>SUMIF(Mercado_Receita!$S$2:$S$241,"44531B2BrancaRuralCooperativa de eletrificação ruralNão se aplicaNão se aplicaFora ponta",Mercado_Receita!$L$2:$L$241)</f>
        <v>0</v>
      </c>
      <c r="O33" s="13">
        <f>SUMIF(Mercado_Receita!$S$2:$S$241,"44562B2BrancaRuralCooperativa de eletrificação ruralNão se aplicaNão se aplicaFora ponta",Mercado_Receita!$L$2:$L$241)</f>
        <v>0</v>
      </c>
      <c r="P33" s="13">
        <f>SUMIF(Mercado_Receita!$S$2:$S$241,"44593B2BrancaRuralCooperativa de eletrificação ruralNão se aplicaNão se aplicaFora ponta",Mercado_Receita!$L$2:$L$241)</f>
        <v>0</v>
      </c>
      <c r="Q33" s="13">
        <f>SUMIF(Mercado_Receita!$S$2:$S$241,"44621B2BrancaRuralCooperativa de eletrificação ruralNão se aplicaNão se aplicaFora ponta",Mercado_Receita!$L$2:$L$241)</f>
        <v>0</v>
      </c>
      <c r="R33" s="13">
        <f>SUMIF(Mercado_Receita!$S$2:$S$241,"44652B2BrancaRuralCooperativa de eletrificação ruralNão se aplicaNão se aplicaFora ponta",Mercado_Receita!$L$2:$L$241)</f>
        <v>0</v>
      </c>
      <c r="S33" s="13">
        <f>SUMIF(Mercado_Receita!$S$2:$S$241,"44682B2BrancaRuralCooperativa de eletrificação ruralNão se aplicaNão se aplicaFora ponta",Mercado_Receita!$L$2:$L$241)</f>
        <v>0</v>
      </c>
      <c r="T33" s="13">
        <f>SUMIF(Mercado_Receita!$S$2:$S$241,"44713B2BrancaRuralCooperativa de eletrificação ruralNão se aplicaNão se aplicaFora ponta",Mercado_Receita!$L$2:$L$241)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88"/>
      <c r="B34" s="12" t="s">
        <v>23</v>
      </c>
      <c r="C34" s="12" t="s">
        <v>42</v>
      </c>
      <c r="D34" s="12" t="s">
        <v>83</v>
      </c>
      <c r="E34" s="12" t="s">
        <v>25</v>
      </c>
      <c r="F34" s="12" t="s">
        <v>25</v>
      </c>
      <c r="G34" s="13" t="s">
        <v>70</v>
      </c>
      <c r="H34" s="13" t="s">
        <v>66</v>
      </c>
      <c r="I34" s="13">
        <f>SUMIF(Mercado_Receita!$S$2:$S$241,"44378B2ConvencionalRuralCooperativa de eletrificação ruralNão se aplicaNão se aplicaPonta",Mercado_Receita!$L$2:$L$241)+SUMIF(Mercado_Receita!$S$2:$S$241,"44378B2ConvencionalRuralCooperativa de eletrificação ruralNão se aplicaNão se aplicaFora ponta",Mercado_Receita!$L$2:$L$241)+SUMIF(Mercado_Receita!$S$2:$S$241,"44378B2ConvencionalRuralCooperativa de eletrificação ruralNão se aplicaNão se aplicaIntermediário",Mercado_Receita!$L$2:$L$241)+SUMIF(Mercado_Receita!$S$2:$S$241,"44378B2ConvencionalRuralCooperativa de eletrificação ruralNão se aplicaNão se aplicaNão se aplica",Mercado_Receita!$L$2:$L$241)</f>
        <v>0</v>
      </c>
      <c r="J34" s="13">
        <f>SUMIF(Mercado_Receita!$S$2:$S$241,"44409B2ConvencionalRuralCooperativa de eletrificação ruralNão se aplicaNão se aplicaPonta",Mercado_Receita!$L$2:$L$241)+SUMIF(Mercado_Receita!$S$2:$S$241,"44409B2ConvencionalRuralCooperativa de eletrificação ruralNão se aplicaNão se aplicaFora ponta",Mercado_Receita!$L$2:$L$241)+SUMIF(Mercado_Receita!$S$2:$S$241,"44409B2ConvencionalRuralCooperativa de eletrificação ruralNão se aplicaNão se aplicaIntermediário",Mercado_Receita!$L$2:$L$241)+SUMIF(Mercado_Receita!$S$2:$S$241,"44409B2ConvencionalRuralCooperativa de eletrificação ruralNão se aplicaNão se aplicaNão se aplica",Mercado_Receita!$L$2:$L$241)</f>
        <v>0</v>
      </c>
      <c r="K34" s="13">
        <f>SUMIF(Mercado_Receita!$S$2:$S$241,"44440B2ConvencionalRuralCooperativa de eletrificação ruralNão se aplicaNão se aplicaPonta",Mercado_Receita!$L$2:$L$241)+SUMIF(Mercado_Receita!$S$2:$S$241,"44440B2ConvencionalRuralCooperativa de eletrificação ruralNão se aplicaNão se aplicaFora ponta",Mercado_Receita!$L$2:$L$241)+SUMIF(Mercado_Receita!$S$2:$S$241,"44440B2ConvencionalRuralCooperativa de eletrificação ruralNão se aplicaNão se aplicaIntermediário",Mercado_Receita!$L$2:$L$241)+SUMIF(Mercado_Receita!$S$2:$S$241,"44440B2ConvencionalRuralCooperativa de eletrificação ruralNão se aplicaNão se aplicaNão se aplica",Mercado_Receita!$L$2:$L$241)</f>
        <v>0</v>
      </c>
      <c r="L34" s="13">
        <f>SUMIF(Mercado_Receita!$S$2:$S$241,"44470B2ConvencionalRuralCooperativa de eletrificação ruralNão se aplicaNão se aplicaPonta",Mercado_Receita!$L$2:$L$241)+SUMIF(Mercado_Receita!$S$2:$S$241,"44470B2ConvencionalRuralCooperativa de eletrificação ruralNão se aplicaNão se aplicaFora ponta",Mercado_Receita!$L$2:$L$241)+SUMIF(Mercado_Receita!$S$2:$S$241,"44470B2ConvencionalRuralCooperativa de eletrificação ruralNão se aplicaNão se aplicaIntermediário",Mercado_Receita!$L$2:$L$241)+SUMIF(Mercado_Receita!$S$2:$S$241,"44470B2ConvencionalRuralCooperativa de eletrificação ruralNão se aplicaNão se aplicaNão se aplica",Mercado_Receita!$L$2:$L$241)</f>
        <v>0</v>
      </c>
      <c r="M34" s="13">
        <f>SUMIF(Mercado_Receita!$S$2:$S$241,"44501B2ConvencionalRuralCooperativa de eletrificação ruralNão se aplicaNão se aplicaPonta",Mercado_Receita!$L$2:$L$241)+SUMIF(Mercado_Receita!$S$2:$S$241,"44501B2ConvencionalRuralCooperativa de eletrificação ruralNão se aplicaNão se aplicaFora ponta",Mercado_Receita!$L$2:$L$241)+SUMIF(Mercado_Receita!$S$2:$S$241,"44501B2ConvencionalRuralCooperativa de eletrificação ruralNão se aplicaNão se aplicaIntermediário",Mercado_Receita!$L$2:$L$241)+SUMIF(Mercado_Receita!$S$2:$S$241,"44501B2ConvencionalRuralCooperativa de eletrificação ruralNão se aplicaNão se aplicaNão se aplica",Mercado_Receita!$L$2:$L$241)</f>
        <v>0</v>
      </c>
      <c r="N34" s="13">
        <f>SUMIF(Mercado_Receita!$S$2:$S$241,"44531B2ConvencionalRuralCooperativa de eletrificação ruralNão se aplicaNão se aplicaPonta",Mercado_Receita!$L$2:$L$241)+SUMIF(Mercado_Receita!$S$2:$S$241,"44531B2ConvencionalRuralCooperativa de eletrificação ruralNão se aplicaNão se aplicaFora ponta",Mercado_Receita!$L$2:$L$241)+SUMIF(Mercado_Receita!$S$2:$S$241,"44531B2ConvencionalRuralCooperativa de eletrificação ruralNão se aplicaNão se aplicaIntermediário",Mercado_Receita!$L$2:$L$241)+SUMIF(Mercado_Receita!$S$2:$S$241,"44531B2ConvencionalRuralCooperativa de eletrificação ruralNão se aplicaNão se aplicaNão se aplica",Mercado_Receita!$L$2:$L$241)</f>
        <v>0</v>
      </c>
      <c r="O34" s="13">
        <f>SUMIF(Mercado_Receita!$S$2:$S$241,"44562B2ConvencionalRuralCooperativa de eletrificação ruralNão se aplicaNão se aplicaPonta",Mercado_Receita!$L$2:$L$241)+SUMIF(Mercado_Receita!$S$2:$S$241,"44562B2ConvencionalRuralCooperativa de eletrificação ruralNão se aplicaNão se aplicaFora ponta",Mercado_Receita!$L$2:$L$241)+SUMIF(Mercado_Receita!$S$2:$S$241,"44562B2ConvencionalRuralCooperativa de eletrificação ruralNão se aplicaNão se aplicaIntermediário",Mercado_Receita!$L$2:$L$241)+SUMIF(Mercado_Receita!$S$2:$S$241,"44562B2ConvencionalRuralCooperativa de eletrificação ruralNão se aplicaNão se aplicaNão se aplica",Mercado_Receita!$L$2:$L$241)</f>
        <v>0</v>
      </c>
      <c r="P34" s="13">
        <f>SUMIF(Mercado_Receita!$S$2:$S$241,"44593B2ConvencionalRuralCooperativa de eletrificação ruralNão se aplicaNão se aplicaPonta",Mercado_Receita!$L$2:$L$241)+SUMIF(Mercado_Receita!$S$2:$S$241,"44593B2ConvencionalRuralCooperativa de eletrificação ruralNão se aplicaNão se aplicaFora ponta",Mercado_Receita!$L$2:$L$241)+SUMIF(Mercado_Receita!$S$2:$S$241,"44593B2ConvencionalRuralCooperativa de eletrificação ruralNão se aplicaNão se aplicaIntermediário",Mercado_Receita!$L$2:$L$241)+SUMIF(Mercado_Receita!$S$2:$S$241,"44593B2ConvencionalRuralCooperativa de eletrificação ruralNão se aplicaNão se aplicaNão se aplica",Mercado_Receita!$L$2:$L$241)</f>
        <v>0</v>
      </c>
      <c r="Q34" s="13">
        <f>SUMIF(Mercado_Receita!$S$2:$S$241,"44621B2ConvencionalRuralCooperativa de eletrificação ruralNão se aplicaNão se aplicaPonta",Mercado_Receita!$L$2:$L$241)+SUMIF(Mercado_Receita!$S$2:$S$241,"44621B2ConvencionalRuralCooperativa de eletrificação ruralNão se aplicaNão se aplicaFora ponta",Mercado_Receita!$L$2:$L$241)+SUMIF(Mercado_Receita!$S$2:$S$241,"44621B2ConvencionalRuralCooperativa de eletrificação ruralNão se aplicaNão se aplicaIntermediário",Mercado_Receita!$L$2:$L$241)+SUMIF(Mercado_Receita!$S$2:$S$241,"44621B2ConvencionalRuralCooperativa de eletrificação ruralNão se aplicaNão se aplicaNão se aplica",Mercado_Receita!$L$2:$L$241)</f>
        <v>0</v>
      </c>
      <c r="R34" s="13">
        <f>SUMIF(Mercado_Receita!$S$2:$S$241,"44652B2ConvencionalRuralCooperativa de eletrificação ruralNão se aplicaNão se aplicaPonta",Mercado_Receita!$L$2:$L$241)+SUMIF(Mercado_Receita!$S$2:$S$241,"44652B2ConvencionalRuralCooperativa de eletrificação ruralNão se aplicaNão se aplicaFora ponta",Mercado_Receita!$L$2:$L$241)+SUMIF(Mercado_Receita!$S$2:$S$241,"44652B2ConvencionalRuralCooperativa de eletrificação ruralNão se aplicaNão se aplicaIntermediário",Mercado_Receita!$L$2:$L$241)+SUMIF(Mercado_Receita!$S$2:$S$241,"44652B2ConvencionalRuralCooperativa de eletrificação ruralNão se aplicaNão se aplicaNão se aplica",Mercado_Receita!$L$2:$L$241)</f>
        <v>0</v>
      </c>
      <c r="S34" s="13">
        <f>SUMIF(Mercado_Receita!$S$2:$S$241,"44682B2ConvencionalRuralCooperativa de eletrificação ruralNão se aplicaNão se aplicaPonta",Mercado_Receita!$L$2:$L$241)+SUMIF(Mercado_Receita!$S$2:$S$241,"44682B2ConvencionalRuralCooperativa de eletrificação ruralNão se aplicaNão se aplicaFora ponta",Mercado_Receita!$L$2:$L$241)+SUMIF(Mercado_Receita!$S$2:$S$241,"44682B2ConvencionalRuralCooperativa de eletrificação ruralNão se aplicaNão se aplicaIntermediário",Mercado_Receita!$L$2:$L$241)+SUMIF(Mercado_Receita!$S$2:$S$241,"44682B2ConvencionalRuralCooperativa de eletrificação ruralNão se aplicaNão se aplicaNão se aplica",Mercado_Receita!$L$2:$L$241)</f>
        <v>0</v>
      </c>
      <c r="T34" s="13">
        <f>SUMIF(Mercado_Receita!$S$2:$S$241,"44713B2ConvencionalRuralCooperativa de eletrificação ruralNão se aplicaNão se aplicaPonta",Mercado_Receita!$L$2:$L$241)+SUMIF(Mercado_Receita!$S$2:$S$241,"44713B2ConvencionalRuralCooperativa de eletrificação ruralNão se aplicaNão se aplicaFora ponta",Mercado_Receita!$L$2:$L$241)+SUMIF(Mercado_Receita!$S$2:$S$241,"44713B2ConvencionalRuralCooperativa de eletrificação ruralNão se aplicaNão se aplicaIntermediário",Mercado_Receita!$L$2:$L$241)+SUMIF(Mercado_Receita!$S$2:$S$241,"44713B2ConvencionalRuralCooperativa de eletrificação ruralNão se aplicaNão se aplicaNão se aplica",Mercado_Receita!$L$2:$L$241)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88"/>
      <c r="B35" s="87" t="s">
        <v>33</v>
      </c>
      <c r="C35" s="87" t="s">
        <v>42</v>
      </c>
      <c r="D35" s="87" t="s">
        <v>84</v>
      </c>
      <c r="E35" s="87" t="s">
        <v>25</v>
      </c>
      <c r="F35" s="87" t="s">
        <v>25</v>
      </c>
      <c r="G35" s="13" t="s">
        <v>67</v>
      </c>
      <c r="H35" s="13" t="s">
        <v>66</v>
      </c>
      <c r="I35" s="13">
        <f>SUMIF(Mercado_Receita!$S$2:$S$241,"44378B2BrancaRuralServiço público de irrigação ruralNão se aplicaNão se aplicaPonta",Mercado_Receita!$L$2:$L$241)</f>
        <v>0</v>
      </c>
      <c r="J35" s="13">
        <f>SUMIF(Mercado_Receita!$S$2:$S$241,"44409B2BrancaRuralServiço público de irrigação ruralNão se aplicaNão se aplicaPonta",Mercado_Receita!$L$2:$L$241)</f>
        <v>0</v>
      </c>
      <c r="K35" s="13">
        <f>SUMIF(Mercado_Receita!$S$2:$S$241,"44440B2BrancaRuralServiço público de irrigação ruralNão se aplicaNão se aplicaPonta",Mercado_Receita!$L$2:$L$241)</f>
        <v>0</v>
      </c>
      <c r="L35" s="13">
        <f>SUMIF(Mercado_Receita!$S$2:$S$241,"44470B2BrancaRuralServiço público de irrigação ruralNão se aplicaNão se aplicaPonta",Mercado_Receita!$L$2:$L$241)</f>
        <v>0</v>
      </c>
      <c r="M35" s="13">
        <f>SUMIF(Mercado_Receita!$S$2:$S$241,"44501B2BrancaRuralServiço público de irrigação ruralNão se aplicaNão se aplicaPonta",Mercado_Receita!$L$2:$L$241)</f>
        <v>0</v>
      </c>
      <c r="N35" s="13">
        <f>SUMIF(Mercado_Receita!$S$2:$S$241,"44531B2BrancaRuralServiço público de irrigação ruralNão se aplicaNão se aplicaPonta",Mercado_Receita!$L$2:$L$241)</f>
        <v>0</v>
      </c>
      <c r="O35" s="13">
        <f>SUMIF(Mercado_Receita!$S$2:$S$241,"44562B2BrancaRuralServiço público de irrigação ruralNão se aplicaNão se aplicaPonta",Mercado_Receita!$L$2:$L$241)</f>
        <v>0</v>
      </c>
      <c r="P35" s="13">
        <f>SUMIF(Mercado_Receita!$S$2:$S$241,"44593B2BrancaRuralServiço público de irrigação ruralNão se aplicaNão se aplicaPonta",Mercado_Receita!$L$2:$L$241)</f>
        <v>0</v>
      </c>
      <c r="Q35" s="13">
        <f>SUMIF(Mercado_Receita!$S$2:$S$241,"44621B2BrancaRuralServiço público de irrigação ruralNão se aplicaNão se aplicaPonta",Mercado_Receita!$L$2:$L$241)</f>
        <v>0</v>
      </c>
      <c r="R35" s="13">
        <f>SUMIF(Mercado_Receita!$S$2:$S$241,"44652B2BrancaRuralServiço público de irrigação ruralNão se aplicaNão se aplicaPonta",Mercado_Receita!$L$2:$L$241)</f>
        <v>0</v>
      </c>
      <c r="S35" s="13">
        <f>SUMIF(Mercado_Receita!$S$2:$S$241,"44682B2BrancaRuralServiço público de irrigação ruralNão se aplicaNão se aplicaPonta",Mercado_Receita!$L$2:$L$241)</f>
        <v>0</v>
      </c>
      <c r="T35" s="13">
        <f>SUMIF(Mercado_Receita!$S$2:$S$241,"44713B2BrancaRuralServiço público de irrigação ruralNão se aplicaNão se aplicaPonta",Mercado_Receita!$L$2:$L$241)</f>
        <v>0</v>
      </c>
      <c r="U35" s="13">
        <f t="shared" si="0"/>
        <v>0</v>
      </c>
      <c r="V35" s="13"/>
      <c r="W35" s="13"/>
    </row>
    <row r="36" spans="1:23" ht="11.25" customHeight="1" x14ac:dyDescent="0.25">
      <c r="A36" s="88"/>
      <c r="B36" s="88"/>
      <c r="C36" s="88"/>
      <c r="D36" s="88"/>
      <c r="E36" s="88"/>
      <c r="F36" s="88"/>
      <c r="G36" s="13" t="s">
        <v>80</v>
      </c>
      <c r="H36" s="13" t="s">
        <v>66</v>
      </c>
      <c r="I36" s="13">
        <f>SUMIF(Mercado_Receita!$S$2:$S$241,"44378B2BrancaRuralServiço público de irrigação ruralNão se aplicaNão se aplicaIntermediário",Mercado_Receita!$L$2:$L$241)</f>
        <v>0</v>
      </c>
      <c r="J36" s="13">
        <f>SUMIF(Mercado_Receita!$S$2:$S$241,"44409B2BrancaRuralServiço público de irrigação ruralNão se aplicaNão se aplicaIntermediário",Mercado_Receita!$L$2:$L$241)</f>
        <v>0</v>
      </c>
      <c r="K36" s="13">
        <f>SUMIF(Mercado_Receita!$S$2:$S$241,"44440B2BrancaRuralServiço público de irrigação ruralNão se aplicaNão se aplicaIntermediário",Mercado_Receita!$L$2:$L$241)</f>
        <v>0</v>
      </c>
      <c r="L36" s="13">
        <f>SUMIF(Mercado_Receita!$S$2:$S$241,"44470B2BrancaRuralServiço público de irrigação ruralNão se aplicaNão se aplicaIntermediário",Mercado_Receita!$L$2:$L$241)</f>
        <v>0</v>
      </c>
      <c r="M36" s="13">
        <f>SUMIF(Mercado_Receita!$S$2:$S$241,"44501B2BrancaRuralServiço público de irrigação ruralNão se aplicaNão se aplicaIntermediário",Mercado_Receita!$L$2:$L$241)</f>
        <v>0</v>
      </c>
      <c r="N36" s="13">
        <f>SUMIF(Mercado_Receita!$S$2:$S$241,"44531B2BrancaRuralServiço público de irrigação ruralNão se aplicaNão se aplicaIntermediário",Mercado_Receita!$L$2:$L$241)</f>
        <v>0</v>
      </c>
      <c r="O36" s="13">
        <f>SUMIF(Mercado_Receita!$S$2:$S$241,"44562B2BrancaRuralServiço público de irrigação ruralNão se aplicaNão se aplicaIntermediário",Mercado_Receita!$L$2:$L$241)</f>
        <v>0</v>
      </c>
      <c r="P36" s="13">
        <f>SUMIF(Mercado_Receita!$S$2:$S$241,"44593B2BrancaRuralServiço público de irrigação ruralNão se aplicaNão se aplicaIntermediário",Mercado_Receita!$L$2:$L$241)</f>
        <v>0</v>
      </c>
      <c r="Q36" s="13">
        <f>SUMIF(Mercado_Receita!$S$2:$S$241,"44621B2BrancaRuralServiço público de irrigação ruralNão se aplicaNão se aplicaIntermediário",Mercado_Receita!$L$2:$L$241)</f>
        <v>0</v>
      </c>
      <c r="R36" s="13">
        <f>SUMIF(Mercado_Receita!$S$2:$S$241,"44652B2BrancaRuralServiço público de irrigação ruralNão se aplicaNão se aplicaIntermediário",Mercado_Receita!$L$2:$L$241)</f>
        <v>0</v>
      </c>
      <c r="S36" s="13">
        <f>SUMIF(Mercado_Receita!$S$2:$S$241,"44682B2BrancaRuralServiço público de irrigação ruralNão se aplicaNão se aplicaIntermediário",Mercado_Receita!$L$2:$L$241)</f>
        <v>0</v>
      </c>
      <c r="T36" s="13">
        <f>SUMIF(Mercado_Receita!$S$2:$S$241,"44713B2BrancaRuralServiço público de irrigação ruralNão se aplicaNão se aplicaIntermediário",Mercado_Receita!$L$2:$L$241)</f>
        <v>0</v>
      </c>
      <c r="U36" s="13">
        <f t="shared" si="0"/>
        <v>0</v>
      </c>
      <c r="V36" s="13"/>
      <c r="W36" s="13"/>
    </row>
    <row r="37" spans="1:23" ht="11.25" customHeight="1" x14ac:dyDescent="0.25">
      <c r="A37" s="88"/>
      <c r="B37" s="88"/>
      <c r="C37" s="88"/>
      <c r="D37" s="88"/>
      <c r="E37" s="88"/>
      <c r="F37" s="88"/>
      <c r="G37" s="13" t="s">
        <v>68</v>
      </c>
      <c r="H37" s="13" t="s">
        <v>66</v>
      </c>
      <c r="I37" s="13">
        <f>SUMIF(Mercado_Receita!$S$2:$S$241,"44378B2BrancaRuralServiço público de irrigação ruralNão se aplicaNão se aplicaFora ponta",Mercado_Receita!$L$2:$L$241)</f>
        <v>0</v>
      </c>
      <c r="J37" s="13">
        <f>SUMIF(Mercado_Receita!$S$2:$S$241,"44409B2BrancaRuralServiço público de irrigação ruralNão se aplicaNão se aplicaFora ponta",Mercado_Receita!$L$2:$L$241)</f>
        <v>0</v>
      </c>
      <c r="K37" s="13">
        <f>SUMIF(Mercado_Receita!$S$2:$S$241,"44440B2BrancaRuralServiço público de irrigação ruralNão se aplicaNão se aplicaFora ponta",Mercado_Receita!$L$2:$L$241)</f>
        <v>0</v>
      </c>
      <c r="L37" s="13">
        <f>SUMIF(Mercado_Receita!$S$2:$S$241,"44470B2BrancaRuralServiço público de irrigação ruralNão se aplicaNão se aplicaFora ponta",Mercado_Receita!$L$2:$L$241)</f>
        <v>0</v>
      </c>
      <c r="M37" s="13">
        <f>SUMIF(Mercado_Receita!$S$2:$S$241,"44501B2BrancaRuralServiço público de irrigação ruralNão se aplicaNão se aplicaFora ponta",Mercado_Receita!$L$2:$L$241)</f>
        <v>0</v>
      </c>
      <c r="N37" s="13">
        <f>SUMIF(Mercado_Receita!$S$2:$S$241,"44531B2BrancaRuralServiço público de irrigação ruralNão se aplicaNão se aplicaFora ponta",Mercado_Receita!$L$2:$L$241)</f>
        <v>0</v>
      </c>
      <c r="O37" s="13">
        <f>SUMIF(Mercado_Receita!$S$2:$S$241,"44562B2BrancaRuralServiço público de irrigação ruralNão se aplicaNão se aplicaFora ponta",Mercado_Receita!$L$2:$L$241)</f>
        <v>0</v>
      </c>
      <c r="P37" s="13">
        <f>SUMIF(Mercado_Receita!$S$2:$S$241,"44593B2BrancaRuralServiço público de irrigação ruralNão se aplicaNão se aplicaFora ponta",Mercado_Receita!$L$2:$L$241)</f>
        <v>0</v>
      </c>
      <c r="Q37" s="13">
        <f>SUMIF(Mercado_Receita!$S$2:$S$241,"44621B2BrancaRuralServiço público de irrigação ruralNão se aplicaNão se aplicaFora ponta",Mercado_Receita!$L$2:$L$241)</f>
        <v>0</v>
      </c>
      <c r="R37" s="13">
        <f>SUMIF(Mercado_Receita!$S$2:$S$241,"44652B2BrancaRuralServiço público de irrigação ruralNão se aplicaNão se aplicaFora ponta",Mercado_Receita!$L$2:$L$241)</f>
        <v>0</v>
      </c>
      <c r="S37" s="13">
        <f>SUMIF(Mercado_Receita!$S$2:$S$241,"44682B2BrancaRuralServiço público de irrigação ruralNão se aplicaNão se aplicaFora ponta",Mercado_Receita!$L$2:$L$241)</f>
        <v>0</v>
      </c>
      <c r="T37" s="13">
        <f>SUMIF(Mercado_Receita!$S$2:$S$241,"44713B2BrancaRuralServiço público de irrigação ruralNão se aplicaNão se aplicaFora ponta",Mercado_Receita!$L$2:$L$241)</f>
        <v>0</v>
      </c>
      <c r="U37" s="13">
        <f t="shared" si="0"/>
        <v>0</v>
      </c>
      <c r="V37" s="13"/>
      <c r="W37" s="13"/>
    </row>
    <row r="38" spans="1:23" ht="11.25" customHeight="1" x14ac:dyDescent="0.25">
      <c r="A38" s="88"/>
      <c r="B38" s="12" t="s">
        <v>23</v>
      </c>
      <c r="C38" s="12" t="s">
        <v>42</v>
      </c>
      <c r="D38" s="12" t="s">
        <v>84</v>
      </c>
      <c r="E38" s="12" t="s">
        <v>25</v>
      </c>
      <c r="F38" s="12" t="s">
        <v>25</v>
      </c>
      <c r="G38" s="13" t="s">
        <v>70</v>
      </c>
      <c r="H38" s="13" t="s">
        <v>66</v>
      </c>
      <c r="I38" s="13">
        <f>SUMIF(Mercado_Receita!$S$2:$S$241,"44378B2ConvencionalRuralServiço público de irrigação ruralNão se aplicaNão se aplicaPonta",Mercado_Receita!$L$2:$L$241)+SUMIF(Mercado_Receita!$S$2:$S$241,"44378B2ConvencionalRuralServiço público de irrigação ruralNão se aplicaNão se aplicaFora ponta",Mercado_Receita!$L$2:$L$241)+SUMIF(Mercado_Receita!$S$2:$S$241,"44378B2ConvencionalRuralServiço público de irrigação ruralNão se aplicaNão se aplicaIntermediário",Mercado_Receita!$L$2:$L$241)+SUMIF(Mercado_Receita!$S$2:$S$241,"44378B2ConvencionalRuralServiço público de irrigação ruralNão se aplicaNão se aplicaNão se aplica",Mercado_Receita!$L$2:$L$241)</f>
        <v>0</v>
      </c>
      <c r="J38" s="13">
        <f>SUMIF(Mercado_Receita!$S$2:$S$241,"44409B2ConvencionalRuralServiço público de irrigação ruralNão se aplicaNão se aplicaPonta",Mercado_Receita!$L$2:$L$241)+SUMIF(Mercado_Receita!$S$2:$S$241,"44409B2ConvencionalRuralServiço público de irrigação ruralNão se aplicaNão se aplicaFora ponta",Mercado_Receita!$L$2:$L$241)+SUMIF(Mercado_Receita!$S$2:$S$241,"44409B2ConvencionalRuralServiço público de irrigação ruralNão se aplicaNão se aplicaIntermediário",Mercado_Receita!$L$2:$L$241)+SUMIF(Mercado_Receita!$S$2:$S$241,"44409B2ConvencionalRuralServiço público de irrigação ruralNão se aplicaNão se aplicaNão se aplica",Mercado_Receita!$L$2:$L$241)</f>
        <v>0</v>
      </c>
      <c r="K38" s="13">
        <f>SUMIF(Mercado_Receita!$S$2:$S$241,"44440B2ConvencionalRuralServiço público de irrigação ruralNão se aplicaNão se aplicaPonta",Mercado_Receita!$L$2:$L$241)+SUMIF(Mercado_Receita!$S$2:$S$241,"44440B2ConvencionalRuralServiço público de irrigação ruralNão se aplicaNão se aplicaFora ponta",Mercado_Receita!$L$2:$L$241)+SUMIF(Mercado_Receita!$S$2:$S$241,"44440B2ConvencionalRuralServiço público de irrigação ruralNão se aplicaNão se aplicaIntermediário",Mercado_Receita!$L$2:$L$241)+SUMIF(Mercado_Receita!$S$2:$S$241,"44440B2ConvencionalRuralServiço público de irrigação ruralNão se aplicaNão se aplicaNão se aplica",Mercado_Receita!$L$2:$L$241)</f>
        <v>0</v>
      </c>
      <c r="L38" s="13">
        <f>SUMIF(Mercado_Receita!$S$2:$S$241,"44470B2ConvencionalRuralServiço público de irrigação ruralNão se aplicaNão se aplicaPonta",Mercado_Receita!$L$2:$L$241)+SUMIF(Mercado_Receita!$S$2:$S$241,"44470B2ConvencionalRuralServiço público de irrigação ruralNão se aplicaNão se aplicaFora ponta",Mercado_Receita!$L$2:$L$241)+SUMIF(Mercado_Receita!$S$2:$S$241,"44470B2ConvencionalRuralServiço público de irrigação ruralNão se aplicaNão se aplicaIntermediário",Mercado_Receita!$L$2:$L$241)+SUMIF(Mercado_Receita!$S$2:$S$241,"44470B2ConvencionalRuralServiço público de irrigação ruralNão se aplicaNão se aplicaNão se aplica",Mercado_Receita!$L$2:$L$241)</f>
        <v>0</v>
      </c>
      <c r="M38" s="13">
        <f>SUMIF(Mercado_Receita!$S$2:$S$241,"44501B2ConvencionalRuralServiço público de irrigação ruralNão se aplicaNão se aplicaPonta",Mercado_Receita!$L$2:$L$241)+SUMIF(Mercado_Receita!$S$2:$S$241,"44501B2ConvencionalRuralServiço público de irrigação ruralNão se aplicaNão se aplicaFora ponta",Mercado_Receita!$L$2:$L$241)+SUMIF(Mercado_Receita!$S$2:$S$241,"44501B2ConvencionalRuralServiço público de irrigação ruralNão se aplicaNão se aplicaIntermediário",Mercado_Receita!$L$2:$L$241)+SUMIF(Mercado_Receita!$S$2:$S$241,"44501B2ConvencionalRuralServiço público de irrigação ruralNão se aplicaNão se aplicaNão se aplica",Mercado_Receita!$L$2:$L$241)</f>
        <v>0</v>
      </c>
      <c r="N38" s="13">
        <f>SUMIF(Mercado_Receita!$S$2:$S$241,"44531B2ConvencionalRuralServiço público de irrigação ruralNão se aplicaNão se aplicaPonta",Mercado_Receita!$L$2:$L$241)+SUMIF(Mercado_Receita!$S$2:$S$241,"44531B2ConvencionalRuralServiço público de irrigação ruralNão se aplicaNão se aplicaFora ponta",Mercado_Receita!$L$2:$L$241)+SUMIF(Mercado_Receita!$S$2:$S$241,"44531B2ConvencionalRuralServiço público de irrigação ruralNão se aplicaNão se aplicaIntermediário",Mercado_Receita!$L$2:$L$241)+SUMIF(Mercado_Receita!$S$2:$S$241,"44531B2ConvencionalRuralServiço público de irrigação ruralNão se aplicaNão se aplicaNão se aplica",Mercado_Receita!$L$2:$L$241)</f>
        <v>0</v>
      </c>
      <c r="O38" s="13">
        <f>SUMIF(Mercado_Receita!$S$2:$S$241,"44562B2ConvencionalRuralServiço público de irrigação ruralNão se aplicaNão se aplicaPonta",Mercado_Receita!$L$2:$L$241)+SUMIF(Mercado_Receita!$S$2:$S$241,"44562B2ConvencionalRuralServiço público de irrigação ruralNão se aplicaNão se aplicaFora ponta",Mercado_Receita!$L$2:$L$241)+SUMIF(Mercado_Receita!$S$2:$S$241,"44562B2ConvencionalRuralServiço público de irrigação ruralNão se aplicaNão se aplicaIntermediário",Mercado_Receita!$L$2:$L$241)+SUMIF(Mercado_Receita!$S$2:$S$241,"44562B2ConvencionalRuralServiço público de irrigação ruralNão se aplicaNão se aplicaNão se aplica",Mercado_Receita!$L$2:$L$241)</f>
        <v>0</v>
      </c>
      <c r="P38" s="13">
        <f>SUMIF(Mercado_Receita!$S$2:$S$241,"44593B2ConvencionalRuralServiço público de irrigação ruralNão se aplicaNão se aplicaPonta",Mercado_Receita!$L$2:$L$241)+SUMIF(Mercado_Receita!$S$2:$S$241,"44593B2ConvencionalRuralServiço público de irrigação ruralNão se aplicaNão se aplicaFora ponta",Mercado_Receita!$L$2:$L$241)+SUMIF(Mercado_Receita!$S$2:$S$241,"44593B2ConvencionalRuralServiço público de irrigação ruralNão se aplicaNão se aplicaIntermediário",Mercado_Receita!$L$2:$L$241)+SUMIF(Mercado_Receita!$S$2:$S$241,"44593B2ConvencionalRuralServiço público de irrigação ruralNão se aplicaNão se aplicaNão se aplica",Mercado_Receita!$L$2:$L$241)</f>
        <v>0</v>
      </c>
      <c r="Q38" s="13">
        <f>SUMIF(Mercado_Receita!$S$2:$S$241,"44621B2ConvencionalRuralServiço público de irrigação ruralNão se aplicaNão se aplicaPonta",Mercado_Receita!$L$2:$L$241)+SUMIF(Mercado_Receita!$S$2:$S$241,"44621B2ConvencionalRuralServiço público de irrigação ruralNão se aplicaNão se aplicaFora ponta",Mercado_Receita!$L$2:$L$241)+SUMIF(Mercado_Receita!$S$2:$S$241,"44621B2ConvencionalRuralServiço público de irrigação ruralNão se aplicaNão se aplicaIntermediário",Mercado_Receita!$L$2:$L$241)+SUMIF(Mercado_Receita!$S$2:$S$241,"44621B2ConvencionalRuralServiço público de irrigação ruralNão se aplicaNão se aplicaNão se aplica",Mercado_Receita!$L$2:$L$241)</f>
        <v>0</v>
      </c>
      <c r="R38" s="13">
        <f>SUMIF(Mercado_Receita!$S$2:$S$241,"44652B2ConvencionalRuralServiço público de irrigação ruralNão se aplicaNão se aplicaPonta",Mercado_Receita!$L$2:$L$241)+SUMIF(Mercado_Receita!$S$2:$S$241,"44652B2ConvencionalRuralServiço público de irrigação ruralNão se aplicaNão se aplicaFora ponta",Mercado_Receita!$L$2:$L$241)+SUMIF(Mercado_Receita!$S$2:$S$241,"44652B2ConvencionalRuralServiço público de irrigação ruralNão se aplicaNão se aplicaIntermediário",Mercado_Receita!$L$2:$L$241)+SUMIF(Mercado_Receita!$S$2:$S$241,"44652B2ConvencionalRuralServiço público de irrigação ruralNão se aplicaNão se aplicaNão se aplica",Mercado_Receita!$L$2:$L$241)</f>
        <v>0</v>
      </c>
      <c r="S38" s="13">
        <f>SUMIF(Mercado_Receita!$S$2:$S$241,"44682B2ConvencionalRuralServiço público de irrigação ruralNão se aplicaNão se aplicaPonta",Mercado_Receita!$L$2:$L$241)+SUMIF(Mercado_Receita!$S$2:$S$241,"44682B2ConvencionalRuralServiço público de irrigação ruralNão se aplicaNão se aplicaFora ponta",Mercado_Receita!$L$2:$L$241)+SUMIF(Mercado_Receita!$S$2:$S$241,"44682B2ConvencionalRuralServiço público de irrigação ruralNão se aplicaNão se aplicaIntermediário",Mercado_Receita!$L$2:$L$241)+SUMIF(Mercado_Receita!$S$2:$S$241,"44682B2ConvencionalRuralServiço público de irrigação ruralNão se aplicaNão se aplicaNão se aplica",Mercado_Receita!$L$2:$L$241)</f>
        <v>0</v>
      </c>
      <c r="T38" s="13">
        <f>SUMIF(Mercado_Receita!$S$2:$S$241,"44713B2ConvencionalRuralServiço público de irrigação ruralNão se aplicaNão se aplicaPonta",Mercado_Receita!$L$2:$L$241)+SUMIF(Mercado_Receita!$S$2:$S$241,"44713B2ConvencionalRuralServiço público de irrigação ruralNão se aplicaNão se aplicaFora ponta",Mercado_Receita!$L$2:$L$241)+SUMIF(Mercado_Receita!$S$2:$S$241,"44713B2ConvencionalRuralServiço público de irrigação ruralNão se aplicaNão se aplicaIntermediário",Mercado_Receita!$L$2:$L$241)+SUMIF(Mercado_Receita!$S$2:$S$241,"44713B2ConvencionalRuralServiço público de irrigação ruralNão se aplicaNão se aplicaNão se aplica",Mercado_Receita!$L$2:$L$241)</f>
        <v>0</v>
      </c>
      <c r="U38" s="13">
        <f t="shared" si="0"/>
        <v>0</v>
      </c>
      <c r="V38" s="13"/>
      <c r="W38" s="13"/>
    </row>
    <row r="39" spans="1:23" ht="11.25" customHeight="1" x14ac:dyDescent="0.25">
      <c r="A39" s="88"/>
      <c r="B39" s="87" t="s">
        <v>82</v>
      </c>
      <c r="C39" s="87" t="s">
        <v>42</v>
      </c>
      <c r="D39" s="12" t="s">
        <v>25</v>
      </c>
      <c r="E39" s="12" t="s">
        <v>25</v>
      </c>
      <c r="F39" s="12" t="s">
        <v>25</v>
      </c>
      <c r="G39" s="13" t="s">
        <v>70</v>
      </c>
      <c r="H39" s="13" t="s">
        <v>66</v>
      </c>
      <c r="I39" s="13">
        <f>SUMIF(Mercado_Receita!$S$2:$S$241,"44378B2Convencional pré-pagamentoRuralNão se aplicaNão se aplicaNão se aplicaPonta",Mercado_Receita!$L$2:$L$241)+SUMIF(Mercado_Receita!$S$2:$S$241,"44378B2Convencional pré-pagamentoRuralNão se aplicaNão se aplicaNão se aplicaFora ponta",Mercado_Receita!$L$2:$L$241)+SUMIF(Mercado_Receita!$S$2:$S$241,"44378B2Convencional pré-pagamentoRuralNão se aplicaNão se aplicaNão se aplicaIntermediário",Mercado_Receita!$L$2:$L$241)+SUMIF(Mercado_Receita!$S$2:$S$241,"44378B2Convencional pré-pagamentoRuralNão se aplicaNão se aplicaNão se aplicaNão se aplica",Mercado_Receita!$L$2:$L$241)</f>
        <v>0</v>
      </c>
      <c r="J39" s="13">
        <f>SUMIF(Mercado_Receita!$S$2:$S$241,"44409B2Convencional pré-pagamentoRuralNão se aplicaNão se aplicaNão se aplicaPonta",Mercado_Receita!$L$2:$L$241)+SUMIF(Mercado_Receita!$S$2:$S$241,"44409B2Convencional pré-pagamentoRuralNão se aplicaNão se aplicaNão se aplicaFora ponta",Mercado_Receita!$L$2:$L$241)+SUMIF(Mercado_Receita!$S$2:$S$241,"44409B2Convencional pré-pagamentoRuralNão se aplicaNão se aplicaNão se aplicaIntermediário",Mercado_Receita!$L$2:$L$241)+SUMIF(Mercado_Receita!$S$2:$S$241,"44409B2Convencional pré-pagamentoRuralNão se aplicaNão se aplicaNão se aplicaNão se aplica",Mercado_Receita!$L$2:$L$241)</f>
        <v>0</v>
      </c>
      <c r="K39" s="13">
        <f>SUMIF(Mercado_Receita!$S$2:$S$241,"44440B2Convencional pré-pagamentoRuralNão se aplicaNão se aplicaNão se aplicaPonta",Mercado_Receita!$L$2:$L$241)+SUMIF(Mercado_Receita!$S$2:$S$241,"44440B2Convencional pré-pagamentoRuralNão se aplicaNão se aplicaNão se aplicaFora ponta",Mercado_Receita!$L$2:$L$241)+SUMIF(Mercado_Receita!$S$2:$S$241,"44440B2Convencional pré-pagamentoRuralNão se aplicaNão se aplicaNão se aplicaIntermediário",Mercado_Receita!$L$2:$L$241)+SUMIF(Mercado_Receita!$S$2:$S$241,"44440B2Convencional pré-pagamentoRuralNão se aplicaNão se aplicaNão se aplicaNão se aplica",Mercado_Receita!$L$2:$L$241)</f>
        <v>0</v>
      </c>
      <c r="L39" s="13">
        <f>SUMIF(Mercado_Receita!$S$2:$S$241,"44470B2Convencional pré-pagamentoRuralNão se aplicaNão se aplicaNão se aplicaPonta",Mercado_Receita!$L$2:$L$241)+SUMIF(Mercado_Receita!$S$2:$S$241,"44470B2Convencional pré-pagamentoRuralNão se aplicaNão se aplicaNão se aplicaFora ponta",Mercado_Receita!$L$2:$L$241)+SUMIF(Mercado_Receita!$S$2:$S$241,"44470B2Convencional pré-pagamentoRuralNão se aplicaNão se aplicaNão se aplicaIntermediário",Mercado_Receita!$L$2:$L$241)+SUMIF(Mercado_Receita!$S$2:$S$241,"44470B2Convencional pré-pagamentoRuralNão se aplicaNão se aplicaNão se aplicaNão se aplica",Mercado_Receita!$L$2:$L$241)</f>
        <v>0</v>
      </c>
      <c r="M39" s="13">
        <f>SUMIF(Mercado_Receita!$S$2:$S$241,"44501B2Convencional pré-pagamentoRuralNão se aplicaNão se aplicaNão se aplicaPonta",Mercado_Receita!$L$2:$L$241)+SUMIF(Mercado_Receita!$S$2:$S$241,"44501B2Convencional pré-pagamentoRuralNão se aplicaNão se aplicaNão se aplicaFora ponta",Mercado_Receita!$L$2:$L$241)+SUMIF(Mercado_Receita!$S$2:$S$241,"44501B2Convencional pré-pagamentoRuralNão se aplicaNão se aplicaNão se aplicaIntermediário",Mercado_Receita!$L$2:$L$241)+SUMIF(Mercado_Receita!$S$2:$S$241,"44501B2Convencional pré-pagamentoRuralNão se aplicaNão se aplicaNão se aplicaNão se aplica",Mercado_Receita!$L$2:$L$241)</f>
        <v>0</v>
      </c>
      <c r="N39" s="13">
        <f>SUMIF(Mercado_Receita!$S$2:$S$241,"44531B2Convencional pré-pagamentoRuralNão se aplicaNão se aplicaNão se aplicaPonta",Mercado_Receita!$L$2:$L$241)+SUMIF(Mercado_Receita!$S$2:$S$241,"44531B2Convencional pré-pagamentoRuralNão se aplicaNão se aplicaNão se aplicaFora ponta",Mercado_Receita!$L$2:$L$241)+SUMIF(Mercado_Receita!$S$2:$S$241,"44531B2Convencional pré-pagamentoRuralNão se aplicaNão se aplicaNão se aplicaIntermediário",Mercado_Receita!$L$2:$L$241)+SUMIF(Mercado_Receita!$S$2:$S$241,"44531B2Convencional pré-pagamentoRuralNão se aplicaNão se aplicaNão se aplicaNão se aplica",Mercado_Receita!$L$2:$L$241)</f>
        <v>0</v>
      </c>
      <c r="O39" s="13">
        <f>SUMIF(Mercado_Receita!$S$2:$S$241,"44562B2Convencional pré-pagamentoRuralNão se aplicaNão se aplicaNão se aplicaPonta",Mercado_Receita!$L$2:$L$241)+SUMIF(Mercado_Receita!$S$2:$S$241,"44562B2Convencional pré-pagamentoRuralNão se aplicaNão se aplicaNão se aplicaFora ponta",Mercado_Receita!$L$2:$L$241)+SUMIF(Mercado_Receita!$S$2:$S$241,"44562B2Convencional pré-pagamentoRuralNão se aplicaNão se aplicaNão se aplicaIntermediário",Mercado_Receita!$L$2:$L$241)+SUMIF(Mercado_Receita!$S$2:$S$241,"44562B2Convencional pré-pagamentoRuralNão se aplicaNão se aplicaNão se aplicaNão se aplica",Mercado_Receita!$L$2:$L$241)</f>
        <v>0</v>
      </c>
      <c r="P39" s="13">
        <f>SUMIF(Mercado_Receita!$S$2:$S$241,"44593B2Convencional pré-pagamentoRuralNão se aplicaNão se aplicaNão se aplicaPonta",Mercado_Receita!$L$2:$L$241)+SUMIF(Mercado_Receita!$S$2:$S$241,"44593B2Convencional pré-pagamentoRuralNão se aplicaNão se aplicaNão se aplicaFora ponta",Mercado_Receita!$L$2:$L$241)+SUMIF(Mercado_Receita!$S$2:$S$241,"44593B2Convencional pré-pagamentoRuralNão se aplicaNão se aplicaNão se aplicaIntermediário",Mercado_Receita!$L$2:$L$241)+SUMIF(Mercado_Receita!$S$2:$S$241,"44593B2Convencional pré-pagamentoRuralNão se aplicaNão se aplicaNão se aplicaNão se aplica",Mercado_Receita!$L$2:$L$241)</f>
        <v>0</v>
      </c>
      <c r="Q39" s="13">
        <f>SUMIF(Mercado_Receita!$S$2:$S$241,"44621B2Convencional pré-pagamentoRuralNão se aplicaNão se aplicaNão se aplicaPonta",Mercado_Receita!$L$2:$L$241)+SUMIF(Mercado_Receita!$S$2:$S$241,"44621B2Convencional pré-pagamentoRuralNão se aplicaNão se aplicaNão se aplicaFora ponta",Mercado_Receita!$L$2:$L$241)+SUMIF(Mercado_Receita!$S$2:$S$241,"44621B2Convencional pré-pagamentoRuralNão se aplicaNão se aplicaNão se aplicaIntermediário",Mercado_Receita!$L$2:$L$241)+SUMIF(Mercado_Receita!$S$2:$S$241,"44621B2Convencional pré-pagamentoRuralNão se aplicaNão se aplicaNão se aplicaNão se aplica",Mercado_Receita!$L$2:$L$241)</f>
        <v>0</v>
      </c>
      <c r="R39" s="13">
        <f>SUMIF(Mercado_Receita!$S$2:$S$241,"44652B2Convencional pré-pagamentoRuralNão se aplicaNão se aplicaNão se aplicaPonta",Mercado_Receita!$L$2:$L$241)+SUMIF(Mercado_Receita!$S$2:$S$241,"44652B2Convencional pré-pagamentoRuralNão se aplicaNão se aplicaNão se aplicaFora ponta",Mercado_Receita!$L$2:$L$241)+SUMIF(Mercado_Receita!$S$2:$S$241,"44652B2Convencional pré-pagamentoRuralNão se aplicaNão se aplicaNão se aplicaIntermediário",Mercado_Receita!$L$2:$L$241)+SUMIF(Mercado_Receita!$S$2:$S$241,"44652B2Convencional pré-pagamentoRuralNão se aplicaNão se aplicaNão se aplicaNão se aplica",Mercado_Receita!$L$2:$L$241)</f>
        <v>0</v>
      </c>
      <c r="S39" s="13">
        <f>SUMIF(Mercado_Receita!$S$2:$S$241,"44682B2Convencional pré-pagamentoRuralNão se aplicaNão se aplicaNão se aplicaPonta",Mercado_Receita!$L$2:$L$241)+SUMIF(Mercado_Receita!$S$2:$S$241,"44682B2Convencional pré-pagamentoRuralNão se aplicaNão se aplicaNão se aplicaFora ponta",Mercado_Receita!$L$2:$L$241)+SUMIF(Mercado_Receita!$S$2:$S$241,"44682B2Convencional pré-pagamentoRuralNão se aplicaNão se aplicaNão se aplicaIntermediário",Mercado_Receita!$L$2:$L$241)+SUMIF(Mercado_Receita!$S$2:$S$241,"44682B2Convencional pré-pagamentoRuralNão se aplicaNão se aplicaNão se aplicaNão se aplica",Mercado_Receita!$L$2:$L$241)</f>
        <v>0</v>
      </c>
      <c r="T39" s="13">
        <f>SUMIF(Mercado_Receita!$S$2:$S$241,"44713B2Convencional pré-pagamentoRuralNão se aplicaNão se aplicaNão se aplicaPonta",Mercado_Receita!$L$2:$L$241)+SUMIF(Mercado_Receita!$S$2:$S$241,"44713B2Convencional pré-pagamentoRuralNão se aplicaNão se aplicaNão se aplicaFora ponta",Mercado_Receita!$L$2:$L$241)+SUMIF(Mercado_Receita!$S$2:$S$241,"44713B2Convencional pré-pagamentoRuralNão se aplicaNão se aplicaNão se aplicaIntermediário",Mercado_Receita!$L$2:$L$241)+SUMIF(Mercado_Receita!$S$2:$S$241,"44713B2Convencional pré-pagamentoRuralNão se aplicaNão se aplicaNão se aplicaNão se aplica",Mercado_Receita!$L$2:$L$241)</f>
        <v>0</v>
      </c>
      <c r="U39" s="13">
        <f t="shared" si="0"/>
        <v>0</v>
      </c>
      <c r="V39" s="13"/>
      <c r="W39" s="13"/>
    </row>
    <row r="40" spans="1:23" ht="11.25" customHeight="1" x14ac:dyDescent="0.25">
      <c r="A40" s="88"/>
      <c r="B40" s="88"/>
      <c r="C40" s="88"/>
      <c r="D40" s="12" t="s">
        <v>83</v>
      </c>
      <c r="E40" s="12" t="s">
        <v>25</v>
      </c>
      <c r="F40" s="12" t="s">
        <v>25</v>
      </c>
      <c r="G40" s="13" t="s">
        <v>70</v>
      </c>
      <c r="H40" s="13" t="s">
        <v>66</v>
      </c>
      <c r="I40" s="13">
        <f>SUMIF(Mercado_Receita!$S$2:$S$241,"44378B2Convencional pré-pagamentoRuralCooperativa de eletrificação ruralNão se aplicaNão se aplicaPonta",Mercado_Receita!$L$2:$L$241)+SUMIF(Mercado_Receita!$S$2:$S$241,"44378B2Convencional pré-pagamentoRuralCooperativa de eletrificação ruralNão se aplicaNão se aplicaFora ponta",Mercado_Receita!$L$2:$L$241)+SUMIF(Mercado_Receita!$S$2:$S$241,"44378B2Convencional pré-pagamentoRuralCooperativa de eletrificação ruralNão se aplicaNão se aplicaIntermediário",Mercado_Receita!$L$2:$L$241)+SUMIF(Mercado_Receita!$S$2:$S$241,"44378B2Convencional pré-pagamentoRuralCooperativa de eletrificação ruralNão se aplicaNão se aplicaNão se aplica",Mercado_Receita!$L$2:$L$241)</f>
        <v>0</v>
      </c>
      <c r="J40" s="13">
        <f>SUMIF(Mercado_Receita!$S$2:$S$241,"44409B2Convencional pré-pagamentoRuralCooperativa de eletrificação ruralNão se aplicaNão se aplicaPonta",Mercado_Receita!$L$2:$L$241)+SUMIF(Mercado_Receita!$S$2:$S$241,"44409B2Convencional pré-pagamentoRuralCooperativa de eletrificação ruralNão se aplicaNão se aplicaFora ponta",Mercado_Receita!$L$2:$L$241)+SUMIF(Mercado_Receita!$S$2:$S$241,"44409B2Convencional pré-pagamentoRuralCooperativa de eletrificação ruralNão se aplicaNão se aplicaIntermediário",Mercado_Receita!$L$2:$L$241)+SUMIF(Mercado_Receita!$S$2:$S$241,"44409B2Convencional pré-pagamentoRuralCooperativa de eletrificação ruralNão se aplicaNão se aplicaNão se aplica",Mercado_Receita!$L$2:$L$241)</f>
        <v>0</v>
      </c>
      <c r="K40" s="13">
        <f>SUMIF(Mercado_Receita!$S$2:$S$241,"44440B2Convencional pré-pagamentoRuralCooperativa de eletrificação ruralNão se aplicaNão se aplicaPonta",Mercado_Receita!$L$2:$L$241)+SUMIF(Mercado_Receita!$S$2:$S$241,"44440B2Convencional pré-pagamentoRuralCooperativa de eletrificação ruralNão se aplicaNão se aplicaFora ponta",Mercado_Receita!$L$2:$L$241)+SUMIF(Mercado_Receita!$S$2:$S$241,"44440B2Convencional pré-pagamentoRuralCooperativa de eletrificação ruralNão se aplicaNão se aplicaIntermediário",Mercado_Receita!$L$2:$L$241)+SUMIF(Mercado_Receita!$S$2:$S$241,"44440B2Convencional pré-pagamentoRuralCooperativa de eletrificação ruralNão se aplicaNão se aplicaNão se aplica",Mercado_Receita!$L$2:$L$241)</f>
        <v>0</v>
      </c>
      <c r="L40" s="13">
        <f>SUMIF(Mercado_Receita!$S$2:$S$241,"44470B2Convencional pré-pagamentoRuralCooperativa de eletrificação ruralNão se aplicaNão se aplicaPonta",Mercado_Receita!$L$2:$L$241)+SUMIF(Mercado_Receita!$S$2:$S$241,"44470B2Convencional pré-pagamentoRuralCooperativa de eletrificação ruralNão se aplicaNão se aplicaFora ponta",Mercado_Receita!$L$2:$L$241)+SUMIF(Mercado_Receita!$S$2:$S$241,"44470B2Convencional pré-pagamentoRuralCooperativa de eletrificação ruralNão se aplicaNão se aplicaIntermediário",Mercado_Receita!$L$2:$L$241)+SUMIF(Mercado_Receita!$S$2:$S$241,"44470B2Convencional pré-pagamentoRuralCooperativa de eletrificação ruralNão se aplicaNão se aplicaNão se aplica",Mercado_Receita!$L$2:$L$241)</f>
        <v>0</v>
      </c>
      <c r="M40" s="13">
        <f>SUMIF(Mercado_Receita!$S$2:$S$241,"44501B2Convencional pré-pagamentoRuralCooperativa de eletrificação ruralNão se aplicaNão se aplicaPonta",Mercado_Receita!$L$2:$L$241)+SUMIF(Mercado_Receita!$S$2:$S$241,"44501B2Convencional pré-pagamentoRuralCooperativa de eletrificação ruralNão se aplicaNão se aplicaFora ponta",Mercado_Receita!$L$2:$L$241)+SUMIF(Mercado_Receita!$S$2:$S$241,"44501B2Convencional pré-pagamentoRuralCooperativa de eletrificação ruralNão se aplicaNão se aplicaIntermediário",Mercado_Receita!$L$2:$L$241)+SUMIF(Mercado_Receita!$S$2:$S$241,"44501B2Convencional pré-pagamentoRuralCooperativa de eletrificação ruralNão se aplicaNão se aplicaNão se aplica",Mercado_Receita!$L$2:$L$241)</f>
        <v>0</v>
      </c>
      <c r="N40" s="13">
        <f>SUMIF(Mercado_Receita!$S$2:$S$241,"44531B2Convencional pré-pagamentoRuralCooperativa de eletrificação ruralNão se aplicaNão se aplicaPonta",Mercado_Receita!$L$2:$L$241)+SUMIF(Mercado_Receita!$S$2:$S$241,"44531B2Convencional pré-pagamentoRuralCooperativa de eletrificação ruralNão se aplicaNão se aplicaFora ponta",Mercado_Receita!$L$2:$L$241)+SUMIF(Mercado_Receita!$S$2:$S$241,"44531B2Convencional pré-pagamentoRuralCooperativa de eletrificação ruralNão se aplicaNão se aplicaIntermediário",Mercado_Receita!$L$2:$L$241)+SUMIF(Mercado_Receita!$S$2:$S$241,"44531B2Convencional pré-pagamentoRuralCooperativa de eletrificação ruralNão se aplicaNão se aplicaNão se aplica",Mercado_Receita!$L$2:$L$241)</f>
        <v>0</v>
      </c>
      <c r="O40" s="13">
        <f>SUMIF(Mercado_Receita!$S$2:$S$241,"44562B2Convencional pré-pagamentoRuralCooperativa de eletrificação ruralNão se aplicaNão se aplicaPonta",Mercado_Receita!$L$2:$L$241)+SUMIF(Mercado_Receita!$S$2:$S$241,"44562B2Convencional pré-pagamentoRuralCooperativa de eletrificação ruralNão se aplicaNão se aplicaFora ponta",Mercado_Receita!$L$2:$L$241)+SUMIF(Mercado_Receita!$S$2:$S$241,"44562B2Convencional pré-pagamentoRuralCooperativa de eletrificação ruralNão se aplicaNão se aplicaIntermediário",Mercado_Receita!$L$2:$L$241)+SUMIF(Mercado_Receita!$S$2:$S$241,"44562B2Convencional pré-pagamentoRuralCooperativa de eletrificação ruralNão se aplicaNão se aplicaNão se aplica",Mercado_Receita!$L$2:$L$241)</f>
        <v>0</v>
      </c>
      <c r="P40" s="13">
        <f>SUMIF(Mercado_Receita!$S$2:$S$241,"44593B2Convencional pré-pagamentoRuralCooperativa de eletrificação ruralNão se aplicaNão se aplicaPonta",Mercado_Receita!$L$2:$L$241)+SUMIF(Mercado_Receita!$S$2:$S$241,"44593B2Convencional pré-pagamentoRuralCooperativa de eletrificação ruralNão se aplicaNão se aplicaFora ponta",Mercado_Receita!$L$2:$L$241)+SUMIF(Mercado_Receita!$S$2:$S$241,"44593B2Convencional pré-pagamentoRuralCooperativa de eletrificação ruralNão se aplicaNão se aplicaIntermediário",Mercado_Receita!$L$2:$L$241)+SUMIF(Mercado_Receita!$S$2:$S$241,"44593B2Convencional pré-pagamentoRuralCooperativa de eletrificação ruralNão se aplicaNão se aplicaNão se aplica",Mercado_Receita!$L$2:$L$241)</f>
        <v>0</v>
      </c>
      <c r="Q40" s="13">
        <f>SUMIF(Mercado_Receita!$S$2:$S$241,"44621B2Convencional pré-pagamentoRuralCooperativa de eletrificação ruralNão se aplicaNão se aplicaPonta",Mercado_Receita!$L$2:$L$241)+SUMIF(Mercado_Receita!$S$2:$S$241,"44621B2Convencional pré-pagamentoRuralCooperativa de eletrificação ruralNão se aplicaNão se aplicaFora ponta",Mercado_Receita!$L$2:$L$241)+SUMIF(Mercado_Receita!$S$2:$S$241,"44621B2Convencional pré-pagamentoRuralCooperativa de eletrificação ruralNão se aplicaNão se aplicaIntermediário",Mercado_Receita!$L$2:$L$241)+SUMIF(Mercado_Receita!$S$2:$S$241,"44621B2Convencional pré-pagamentoRuralCooperativa de eletrificação ruralNão se aplicaNão se aplicaNão se aplica",Mercado_Receita!$L$2:$L$241)</f>
        <v>0</v>
      </c>
      <c r="R40" s="13">
        <f>SUMIF(Mercado_Receita!$S$2:$S$241,"44652B2Convencional pré-pagamentoRuralCooperativa de eletrificação ruralNão se aplicaNão se aplicaPonta",Mercado_Receita!$L$2:$L$241)+SUMIF(Mercado_Receita!$S$2:$S$241,"44652B2Convencional pré-pagamentoRuralCooperativa de eletrificação ruralNão se aplicaNão se aplicaFora ponta",Mercado_Receita!$L$2:$L$241)+SUMIF(Mercado_Receita!$S$2:$S$241,"44652B2Convencional pré-pagamentoRuralCooperativa de eletrificação ruralNão se aplicaNão se aplicaIntermediário",Mercado_Receita!$L$2:$L$241)+SUMIF(Mercado_Receita!$S$2:$S$241,"44652B2Convencional pré-pagamentoRuralCooperativa de eletrificação ruralNão se aplicaNão se aplicaNão se aplica",Mercado_Receita!$L$2:$L$241)</f>
        <v>0</v>
      </c>
      <c r="S40" s="13">
        <f>SUMIF(Mercado_Receita!$S$2:$S$241,"44682B2Convencional pré-pagamentoRuralCooperativa de eletrificação ruralNão se aplicaNão se aplicaPonta",Mercado_Receita!$L$2:$L$241)+SUMIF(Mercado_Receita!$S$2:$S$241,"44682B2Convencional pré-pagamentoRuralCooperativa de eletrificação ruralNão se aplicaNão se aplicaFora ponta",Mercado_Receita!$L$2:$L$241)+SUMIF(Mercado_Receita!$S$2:$S$241,"44682B2Convencional pré-pagamentoRuralCooperativa de eletrificação ruralNão se aplicaNão se aplicaIntermediário",Mercado_Receita!$L$2:$L$241)+SUMIF(Mercado_Receita!$S$2:$S$241,"44682B2Convencional pré-pagamentoRuralCooperativa de eletrificação ruralNão se aplicaNão se aplicaNão se aplica",Mercado_Receita!$L$2:$L$241)</f>
        <v>0</v>
      </c>
      <c r="T40" s="13">
        <f>SUMIF(Mercado_Receita!$S$2:$S$241,"44713B2Convencional pré-pagamentoRuralCooperativa de eletrificação ruralNão se aplicaNão se aplicaPonta",Mercado_Receita!$L$2:$L$241)+SUMIF(Mercado_Receita!$S$2:$S$241,"44713B2Convencional pré-pagamentoRuralCooperativa de eletrificação ruralNão se aplicaNão se aplicaFora ponta",Mercado_Receita!$L$2:$L$241)+SUMIF(Mercado_Receita!$S$2:$S$241,"44713B2Convencional pré-pagamentoRuralCooperativa de eletrificação ruralNão se aplicaNão se aplicaIntermediário",Mercado_Receita!$L$2:$L$241)+SUMIF(Mercado_Receita!$S$2:$S$241,"44713B2Convencional pré-pagamentoRuralCooperativa de eletrificação ruralNão se aplicaNão se aplicaNão se aplica",Mercado_Receita!$L$2:$L$241)</f>
        <v>0</v>
      </c>
      <c r="U40" s="13">
        <f t="shared" si="0"/>
        <v>0</v>
      </c>
      <c r="V40" s="13"/>
      <c r="W40" s="13"/>
    </row>
    <row r="41" spans="1:23" ht="11.25" customHeight="1" x14ac:dyDescent="0.25">
      <c r="A41" s="88"/>
      <c r="B41" s="88"/>
      <c r="C41" s="88"/>
      <c r="D41" s="12" t="s">
        <v>84</v>
      </c>
      <c r="E41" s="12" t="s">
        <v>25</v>
      </c>
      <c r="F41" s="12" t="s">
        <v>25</v>
      </c>
      <c r="G41" s="13" t="s">
        <v>70</v>
      </c>
      <c r="H41" s="13" t="s">
        <v>66</v>
      </c>
      <c r="I41" s="13">
        <f>SUMIF(Mercado_Receita!$S$2:$S$241,"44378B2Convencional pré-pagamentoRuralServiço público de irrigação ruralNão se aplicaNão se aplicaPonta",Mercado_Receita!$L$2:$L$241)+SUMIF(Mercado_Receita!$S$2:$S$241,"44378B2Convencional pré-pagamentoRuralServiço público de irrigação ruralNão se aplicaNão se aplicaFora ponta",Mercado_Receita!$L$2:$L$241)+SUMIF(Mercado_Receita!$S$2:$S$241,"44378B2Convencional pré-pagamentoRuralServiço público de irrigação ruralNão se aplicaNão se aplicaIntermediário",Mercado_Receita!$L$2:$L$241)+SUMIF(Mercado_Receita!$S$2:$S$241,"44378B2Convencional pré-pagamentoRuralServiço público de irrigação ruralNão se aplicaNão se aplicaNão se aplica",Mercado_Receita!$L$2:$L$241)</f>
        <v>0</v>
      </c>
      <c r="J41" s="13">
        <f>SUMIF(Mercado_Receita!$S$2:$S$241,"44409B2Convencional pré-pagamentoRuralServiço público de irrigação ruralNão se aplicaNão se aplicaPonta",Mercado_Receita!$L$2:$L$241)+SUMIF(Mercado_Receita!$S$2:$S$241,"44409B2Convencional pré-pagamentoRuralServiço público de irrigação ruralNão se aplicaNão se aplicaFora ponta",Mercado_Receita!$L$2:$L$241)+SUMIF(Mercado_Receita!$S$2:$S$241,"44409B2Convencional pré-pagamentoRuralServiço público de irrigação ruralNão se aplicaNão se aplicaIntermediário",Mercado_Receita!$L$2:$L$241)+SUMIF(Mercado_Receita!$S$2:$S$241,"44409B2Convencional pré-pagamentoRuralServiço público de irrigação ruralNão se aplicaNão se aplicaNão se aplica",Mercado_Receita!$L$2:$L$241)</f>
        <v>0</v>
      </c>
      <c r="K41" s="13">
        <f>SUMIF(Mercado_Receita!$S$2:$S$241,"44440B2Convencional pré-pagamentoRuralServiço público de irrigação ruralNão se aplicaNão se aplicaPonta",Mercado_Receita!$L$2:$L$241)+SUMIF(Mercado_Receita!$S$2:$S$241,"44440B2Convencional pré-pagamentoRuralServiço público de irrigação ruralNão se aplicaNão se aplicaFora ponta",Mercado_Receita!$L$2:$L$241)+SUMIF(Mercado_Receita!$S$2:$S$241,"44440B2Convencional pré-pagamentoRuralServiço público de irrigação ruralNão se aplicaNão se aplicaIntermediário",Mercado_Receita!$L$2:$L$241)+SUMIF(Mercado_Receita!$S$2:$S$241,"44440B2Convencional pré-pagamentoRuralServiço público de irrigação ruralNão se aplicaNão se aplicaNão se aplica",Mercado_Receita!$L$2:$L$241)</f>
        <v>0</v>
      </c>
      <c r="L41" s="13">
        <f>SUMIF(Mercado_Receita!$S$2:$S$241,"44470B2Convencional pré-pagamentoRuralServiço público de irrigação ruralNão se aplicaNão se aplicaPonta",Mercado_Receita!$L$2:$L$241)+SUMIF(Mercado_Receita!$S$2:$S$241,"44470B2Convencional pré-pagamentoRuralServiço público de irrigação ruralNão se aplicaNão se aplicaFora ponta",Mercado_Receita!$L$2:$L$241)+SUMIF(Mercado_Receita!$S$2:$S$241,"44470B2Convencional pré-pagamentoRuralServiço público de irrigação ruralNão se aplicaNão se aplicaIntermediário",Mercado_Receita!$L$2:$L$241)+SUMIF(Mercado_Receita!$S$2:$S$241,"44470B2Convencional pré-pagamentoRuralServiço público de irrigação ruralNão se aplicaNão se aplicaNão se aplica",Mercado_Receita!$L$2:$L$241)</f>
        <v>0</v>
      </c>
      <c r="M41" s="13">
        <f>SUMIF(Mercado_Receita!$S$2:$S$241,"44501B2Convencional pré-pagamentoRuralServiço público de irrigação ruralNão se aplicaNão se aplicaPonta",Mercado_Receita!$L$2:$L$241)+SUMIF(Mercado_Receita!$S$2:$S$241,"44501B2Convencional pré-pagamentoRuralServiço público de irrigação ruralNão se aplicaNão se aplicaFora ponta",Mercado_Receita!$L$2:$L$241)+SUMIF(Mercado_Receita!$S$2:$S$241,"44501B2Convencional pré-pagamentoRuralServiço público de irrigação ruralNão se aplicaNão se aplicaIntermediário",Mercado_Receita!$L$2:$L$241)+SUMIF(Mercado_Receita!$S$2:$S$241,"44501B2Convencional pré-pagamentoRuralServiço público de irrigação ruralNão se aplicaNão se aplicaNão se aplica",Mercado_Receita!$L$2:$L$241)</f>
        <v>0</v>
      </c>
      <c r="N41" s="13">
        <f>SUMIF(Mercado_Receita!$S$2:$S$241,"44531B2Convencional pré-pagamentoRuralServiço público de irrigação ruralNão se aplicaNão se aplicaPonta",Mercado_Receita!$L$2:$L$241)+SUMIF(Mercado_Receita!$S$2:$S$241,"44531B2Convencional pré-pagamentoRuralServiço público de irrigação ruralNão se aplicaNão se aplicaFora ponta",Mercado_Receita!$L$2:$L$241)+SUMIF(Mercado_Receita!$S$2:$S$241,"44531B2Convencional pré-pagamentoRuralServiço público de irrigação ruralNão se aplicaNão se aplicaIntermediário",Mercado_Receita!$L$2:$L$241)+SUMIF(Mercado_Receita!$S$2:$S$241,"44531B2Convencional pré-pagamentoRuralServiço público de irrigação ruralNão se aplicaNão se aplicaNão se aplica",Mercado_Receita!$L$2:$L$241)</f>
        <v>0</v>
      </c>
      <c r="O41" s="13">
        <f>SUMIF(Mercado_Receita!$S$2:$S$241,"44562B2Convencional pré-pagamentoRuralServiço público de irrigação ruralNão se aplicaNão se aplicaPonta",Mercado_Receita!$L$2:$L$241)+SUMIF(Mercado_Receita!$S$2:$S$241,"44562B2Convencional pré-pagamentoRuralServiço público de irrigação ruralNão se aplicaNão se aplicaFora ponta",Mercado_Receita!$L$2:$L$241)+SUMIF(Mercado_Receita!$S$2:$S$241,"44562B2Convencional pré-pagamentoRuralServiço público de irrigação ruralNão se aplicaNão se aplicaIntermediário",Mercado_Receita!$L$2:$L$241)+SUMIF(Mercado_Receita!$S$2:$S$241,"44562B2Convencional pré-pagamentoRuralServiço público de irrigação ruralNão se aplicaNão se aplicaNão se aplica",Mercado_Receita!$L$2:$L$241)</f>
        <v>0</v>
      </c>
      <c r="P41" s="13">
        <f>SUMIF(Mercado_Receita!$S$2:$S$241,"44593B2Convencional pré-pagamentoRuralServiço público de irrigação ruralNão se aplicaNão se aplicaPonta",Mercado_Receita!$L$2:$L$241)+SUMIF(Mercado_Receita!$S$2:$S$241,"44593B2Convencional pré-pagamentoRuralServiço público de irrigação ruralNão se aplicaNão se aplicaFora ponta",Mercado_Receita!$L$2:$L$241)+SUMIF(Mercado_Receita!$S$2:$S$241,"44593B2Convencional pré-pagamentoRuralServiço público de irrigação ruralNão se aplicaNão se aplicaIntermediário",Mercado_Receita!$L$2:$L$241)+SUMIF(Mercado_Receita!$S$2:$S$241,"44593B2Convencional pré-pagamentoRuralServiço público de irrigação ruralNão se aplicaNão se aplicaNão se aplica",Mercado_Receita!$L$2:$L$241)</f>
        <v>0</v>
      </c>
      <c r="Q41" s="13">
        <f>SUMIF(Mercado_Receita!$S$2:$S$241,"44621B2Convencional pré-pagamentoRuralServiço público de irrigação ruralNão se aplicaNão se aplicaPonta",Mercado_Receita!$L$2:$L$241)+SUMIF(Mercado_Receita!$S$2:$S$241,"44621B2Convencional pré-pagamentoRuralServiço público de irrigação ruralNão se aplicaNão se aplicaFora ponta",Mercado_Receita!$L$2:$L$241)+SUMIF(Mercado_Receita!$S$2:$S$241,"44621B2Convencional pré-pagamentoRuralServiço público de irrigação ruralNão se aplicaNão se aplicaIntermediário",Mercado_Receita!$L$2:$L$241)+SUMIF(Mercado_Receita!$S$2:$S$241,"44621B2Convencional pré-pagamentoRuralServiço público de irrigação ruralNão se aplicaNão se aplicaNão se aplica",Mercado_Receita!$L$2:$L$241)</f>
        <v>0</v>
      </c>
      <c r="R41" s="13">
        <f>SUMIF(Mercado_Receita!$S$2:$S$241,"44652B2Convencional pré-pagamentoRuralServiço público de irrigação ruralNão se aplicaNão se aplicaPonta",Mercado_Receita!$L$2:$L$241)+SUMIF(Mercado_Receita!$S$2:$S$241,"44652B2Convencional pré-pagamentoRuralServiço público de irrigação ruralNão se aplicaNão se aplicaFora ponta",Mercado_Receita!$L$2:$L$241)+SUMIF(Mercado_Receita!$S$2:$S$241,"44652B2Convencional pré-pagamentoRuralServiço público de irrigação ruralNão se aplicaNão se aplicaIntermediário",Mercado_Receita!$L$2:$L$241)+SUMIF(Mercado_Receita!$S$2:$S$241,"44652B2Convencional pré-pagamentoRuralServiço público de irrigação ruralNão se aplicaNão se aplicaNão se aplica",Mercado_Receita!$L$2:$L$241)</f>
        <v>0</v>
      </c>
      <c r="S41" s="13">
        <f>SUMIF(Mercado_Receita!$S$2:$S$241,"44682B2Convencional pré-pagamentoRuralServiço público de irrigação ruralNão se aplicaNão se aplicaPonta",Mercado_Receita!$L$2:$L$241)+SUMIF(Mercado_Receita!$S$2:$S$241,"44682B2Convencional pré-pagamentoRuralServiço público de irrigação ruralNão se aplicaNão se aplicaFora ponta",Mercado_Receita!$L$2:$L$241)+SUMIF(Mercado_Receita!$S$2:$S$241,"44682B2Convencional pré-pagamentoRuralServiço público de irrigação ruralNão se aplicaNão se aplicaIntermediário",Mercado_Receita!$L$2:$L$241)+SUMIF(Mercado_Receita!$S$2:$S$241,"44682B2Convencional pré-pagamentoRuralServiço público de irrigação ruralNão se aplicaNão se aplicaNão se aplica",Mercado_Receita!$L$2:$L$241)</f>
        <v>0</v>
      </c>
      <c r="T41" s="13">
        <f>SUMIF(Mercado_Receita!$S$2:$S$241,"44713B2Convencional pré-pagamentoRuralServiço público de irrigação ruralNão se aplicaNão se aplicaPonta",Mercado_Receita!$L$2:$L$241)+SUMIF(Mercado_Receita!$S$2:$S$241,"44713B2Convencional pré-pagamentoRuralServiço público de irrigação ruralNão se aplicaNão se aplicaFora ponta",Mercado_Receita!$L$2:$L$241)+SUMIF(Mercado_Receita!$S$2:$S$241,"44713B2Convencional pré-pagamentoRuralServiço público de irrigação ruralNão se aplicaNão se aplicaIntermediário",Mercado_Receita!$L$2:$L$241)+SUMIF(Mercado_Receita!$S$2:$S$241,"44713B2Convencional pré-pagamentoRuralServiço público de irrigação ruralNão se aplicaNão se aplicaNão se aplica",Mercado_Receita!$L$2:$L$241)</f>
        <v>0</v>
      </c>
      <c r="U41" s="13">
        <f t="shared" si="0"/>
        <v>0</v>
      </c>
      <c r="V41" s="13"/>
      <c r="W41" s="13"/>
    </row>
    <row r="42" spans="1:23" ht="11.25" customHeight="1" x14ac:dyDescent="0.25">
      <c r="A42" s="87" t="s">
        <v>37</v>
      </c>
      <c r="B42" s="87" t="s">
        <v>33</v>
      </c>
      <c r="C42" s="87" t="s">
        <v>25</v>
      </c>
      <c r="D42" s="87" t="s">
        <v>25</v>
      </c>
      <c r="E42" s="87" t="s">
        <v>25</v>
      </c>
      <c r="F42" s="87" t="s">
        <v>25</v>
      </c>
      <c r="G42" s="13" t="s">
        <v>67</v>
      </c>
      <c r="H42" s="13" t="s">
        <v>66</v>
      </c>
      <c r="I42" s="13">
        <f>SUMIF(Mercado_Receita!$S$2:$S$241,"44378B3BrancaNão se aplicaNão se aplicaNão se aplicaNão se aplicaPonta",Mercado_Receita!$L$2:$L$241)</f>
        <v>0</v>
      </c>
      <c r="J42" s="13">
        <f>SUMIF(Mercado_Receita!$S$2:$S$241,"44409B3BrancaNão se aplicaNão se aplicaNão se aplicaNão se aplicaPonta",Mercado_Receita!$L$2:$L$241)</f>
        <v>0</v>
      </c>
      <c r="K42" s="13">
        <f>SUMIF(Mercado_Receita!$S$2:$S$241,"44440B3BrancaNão se aplicaNão se aplicaNão se aplicaNão se aplicaPonta",Mercado_Receita!$L$2:$L$241)</f>
        <v>0</v>
      </c>
      <c r="L42" s="13">
        <f>SUMIF(Mercado_Receita!$S$2:$S$241,"44470B3BrancaNão se aplicaNão se aplicaNão se aplicaNão se aplicaPonta",Mercado_Receita!$L$2:$L$241)</f>
        <v>0</v>
      </c>
      <c r="M42" s="13">
        <f>SUMIF(Mercado_Receita!$S$2:$S$241,"44501B3BrancaNão se aplicaNão se aplicaNão se aplicaNão se aplicaPonta",Mercado_Receita!$L$2:$L$241)</f>
        <v>0</v>
      </c>
      <c r="N42" s="13">
        <f>SUMIF(Mercado_Receita!$S$2:$S$241,"44531B3BrancaNão se aplicaNão se aplicaNão se aplicaNão se aplicaPonta",Mercado_Receita!$L$2:$L$241)</f>
        <v>0</v>
      </c>
      <c r="O42" s="13">
        <f>SUMIF(Mercado_Receita!$S$2:$S$241,"44562B3BrancaNão se aplicaNão se aplicaNão se aplicaNão se aplicaPonta",Mercado_Receita!$L$2:$L$241)</f>
        <v>0</v>
      </c>
      <c r="P42" s="13">
        <f>SUMIF(Mercado_Receita!$S$2:$S$241,"44593B3BrancaNão se aplicaNão se aplicaNão se aplicaNão se aplicaPonta",Mercado_Receita!$L$2:$L$241)</f>
        <v>0</v>
      </c>
      <c r="Q42" s="13">
        <f>SUMIF(Mercado_Receita!$S$2:$S$241,"44621B3BrancaNão se aplicaNão se aplicaNão se aplicaNão se aplicaPonta",Mercado_Receita!$L$2:$L$241)</f>
        <v>0</v>
      </c>
      <c r="R42" s="13">
        <f>SUMIF(Mercado_Receita!$S$2:$S$241,"44652B3BrancaNão se aplicaNão se aplicaNão se aplicaNão se aplicaPonta",Mercado_Receita!$L$2:$L$241)</f>
        <v>0</v>
      </c>
      <c r="S42" s="13">
        <f>SUMIF(Mercado_Receita!$S$2:$S$241,"44682B3BrancaNão se aplicaNão se aplicaNão se aplicaNão se aplicaPonta",Mercado_Receita!$L$2:$L$241)</f>
        <v>0</v>
      </c>
      <c r="T42" s="13">
        <f>SUMIF(Mercado_Receita!$S$2:$S$241,"44713B3BrancaNão se aplicaNão se aplicaNão se aplicaNão se aplicaPonta",Mercado_Receita!$L$2:$L$241)</f>
        <v>0</v>
      </c>
      <c r="U42" s="13">
        <f t="shared" si="0"/>
        <v>0</v>
      </c>
      <c r="V42" s="13"/>
      <c r="W42" s="13"/>
    </row>
    <row r="43" spans="1:23" ht="11.25" customHeight="1" x14ac:dyDescent="0.25">
      <c r="A43" s="88"/>
      <c r="B43" s="88"/>
      <c r="C43" s="88"/>
      <c r="D43" s="88"/>
      <c r="E43" s="88"/>
      <c r="F43" s="88"/>
      <c r="G43" s="13" t="s">
        <v>80</v>
      </c>
      <c r="H43" s="13" t="s">
        <v>66</v>
      </c>
      <c r="I43" s="13">
        <f>SUMIF(Mercado_Receita!$S$2:$S$241,"44378B3BrancaNão se aplicaNão se aplicaNão se aplicaNão se aplicaIntermediário",Mercado_Receita!$L$2:$L$241)</f>
        <v>0</v>
      </c>
      <c r="J43" s="13">
        <f>SUMIF(Mercado_Receita!$S$2:$S$241,"44409B3BrancaNão se aplicaNão se aplicaNão se aplicaNão se aplicaIntermediário",Mercado_Receita!$L$2:$L$241)</f>
        <v>0</v>
      </c>
      <c r="K43" s="13">
        <f>SUMIF(Mercado_Receita!$S$2:$S$241,"44440B3BrancaNão se aplicaNão se aplicaNão se aplicaNão se aplicaIntermediário",Mercado_Receita!$L$2:$L$241)</f>
        <v>0</v>
      </c>
      <c r="L43" s="13">
        <f>SUMIF(Mercado_Receita!$S$2:$S$241,"44470B3BrancaNão se aplicaNão se aplicaNão se aplicaNão se aplicaIntermediário",Mercado_Receita!$L$2:$L$241)</f>
        <v>0</v>
      </c>
      <c r="M43" s="13">
        <f>SUMIF(Mercado_Receita!$S$2:$S$241,"44501B3BrancaNão se aplicaNão se aplicaNão se aplicaNão se aplicaIntermediário",Mercado_Receita!$L$2:$L$241)</f>
        <v>0</v>
      </c>
      <c r="N43" s="13">
        <f>SUMIF(Mercado_Receita!$S$2:$S$241,"44531B3BrancaNão se aplicaNão se aplicaNão se aplicaNão se aplicaIntermediário",Mercado_Receita!$L$2:$L$241)</f>
        <v>0</v>
      </c>
      <c r="O43" s="13">
        <f>SUMIF(Mercado_Receita!$S$2:$S$241,"44562B3BrancaNão se aplicaNão se aplicaNão se aplicaNão se aplicaIntermediário",Mercado_Receita!$L$2:$L$241)</f>
        <v>0</v>
      </c>
      <c r="P43" s="13">
        <f>SUMIF(Mercado_Receita!$S$2:$S$241,"44593B3BrancaNão se aplicaNão se aplicaNão se aplicaNão se aplicaIntermediário",Mercado_Receita!$L$2:$L$241)</f>
        <v>0</v>
      </c>
      <c r="Q43" s="13">
        <f>SUMIF(Mercado_Receita!$S$2:$S$241,"44621B3BrancaNão se aplicaNão se aplicaNão se aplicaNão se aplicaIntermediário",Mercado_Receita!$L$2:$L$241)</f>
        <v>0</v>
      </c>
      <c r="R43" s="13">
        <f>SUMIF(Mercado_Receita!$S$2:$S$241,"44652B3BrancaNão se aplicaNão se aplicaNão se aplicaNão se aplicaIntermediário",Mercado_Receita!$L$2:$L$241)</f>
        <v>0</v>
      </c>
      <c r="S43" s="13">
        <f>SUMIF(Mercado_Receita!$S$2:$S$241,"44682B3BrancaNão se aplicaNão se aplicaNão se aplicaNão se aplicaIntermediário",Mercado_Receita!$L$2:$L$241)</f>
        <v>0</v>
      </c>
      <c r="T43" s="13">
        <f>SUMIF(Mercado_Receita!$S$2:$S$241,"44713B3BrancaNão se aplicaNão se aplicaNão se aplicaNão se aplicaIntermediário",Mercado_Receita!$L$2:$L$241)</f>
        <v>0</v>
      </c>
      <c r="U43" s="13">
        <f t="shared" si="0"/>
        <v>0</v>
      </c>
      <c r="V43" s="13"/>
      <c r="W43" s="13"/>
    </row>
    <row r="44" spans="1:23" ht="11.25" customHeight="1" x14ac:dyDescent="0.25">
      <c r="A44" s="88"/>
      <c r="B44" s="88"/>
      <c r="C44" s="88"/>
      <c r="D44" s="88"/>
      <c r="E44" s="88"/>
      <c r="F44" s="88"/>
      <c r="G44" s="13" t="s">
        <v>68</v>
      </c>
      <c r="H44" s="13" t="s">
        <v>66</v>
      </c>
      <c r="I44" s="13">
        <f>SUMIF(Mercado_Receita!$S$2:$S$241,"44378B3BrancaNão se aplicaNão se aplicaNão se aplicaNão se aplicaFora ponta",Mercado_Receita!$L$2:$L$241)</f>
        <v>0</v>
      </c>
      <c r="J44" s="13">
        <f>SUMIF(Mercado_Receita!$S$2:$S$241,"44409B3BrancaNão se aplicaNão se aplicaNão se aplicaNão se aplicaFora ponta",Mercado_Receita!$L$2:$L$241)</f>
        <v>0</v>
      </c>
      <c r="K44" s="13">
        <f>SUMIF(Mercado_Receita!$S$2:$S$241,"44440B3BrancaNão se aplicaNão se aplicaNão se aplicaNão se aplicaFora ponta",Mercado_Receita!$L$2:$L$241)</f>
        <v>0</v>
      </c>
      <c r="L44" s="13">
        <f>SUMIF(Mercado_Receita!$S$2:$S$241,"44470B3BrancaNão se aplicaNão se aplicaNão se aplicaNão se aplicaFora ponta",Mercado_Receita!$L$2:$L$241)</f>
        <v>0</v>
      </c>
      <c r="M44" s="13">
        <f>SUMIF(Mercado_Receita!$S$2:$S$241,"44501B3BrancaNão se aplicaNão se aplicaNão se aplicaNão se aplicaFora ponta",Mercado_Receita!$L$2:$L$241)</f>
        <v>0</v>
      </c>
      <c r="N44" s="13">
        <f>SUMIF(Mercado_Receita!$S$2:$S$241,"44531B3BrancaNão se aplicaNão se aplicaNão se aplicaNão se aplicaFora ponta",Mercado_Receita!$L$2:$L$241)</f>
        <v>0</v>
      </c>
      <c r="O44" s="13">
        <f>SUMIF(Mercado_Receita!$S$2:$S$241,"44562B3BrancaNão se aplicaNão se aplicaNão se aplicaNão se aplicaFora ponta",Mercado_Receita!$L$2:$L$241)</f>
        <v>0</v>
      </c>
      <c r="P44" s="13">
        <f>SUMIF(Mercado_Receita!$S$2:$S$241,"44593B3BrancaNão se aplicaNão se aplicaNão se aplicaNão se aplicaFora ponta",Mercado_Receita!$L$2:$L$241)</f>
        <v>0</v>
      </c>
      <c r="Q44" s="13">
        <f>SUMIF(Mercado_Receita!$S$2:$S$241,"44621B3BrancaNão se aplicaNão se aplicaNão se aplicaNão se aplicaFora ponta",Mercado_Receita!$L$2:$L$241)</f>
        <v>0</v>
      </c>
      <c r="R44" s="13">
        <f>SUMIF(Mercado_Receita!$S$2:$S$241,"44652B3BrancaNão se aplicaNão se aplicaNão se aplicaNão se aplicaFora ponta",Mercado_Receita!$L$2:$L$241)</f>
        <v>0</v>
      </c>
      <c r="S44" s="13">
        <f>SUMIF(Mercado_Receita!$S$2:$S$241,"44682B3BrancaNão se aplicaNão se aplicaNão se aplicaNão se aplicaFora ponta",Mercado_Receita!$L$2:$L$241)</f>
        <v>0</v>
      </c>
      <c r="T44" s="13">
        <f>SUMIF(Mercado_Receita!$S$2:$S$241,"44713B3BrancaNão se aplicaNão se aplicaNão se aplicaNão se aplicaFora ponta",Mercado_Receita!$L$2:$L$241)</f>
        <v>0</v>
      </c>
      <c r="U44" s="13">
        <f t="shared" si="0"/>
        <v>0</v>
      </c>
      <c r="V44" s="13"/>
      <c r="W44" s="13"/>
    </row>
    <row r="45" spans="1:23" ht="11.25" customHeight="1" x14ac:dyDescent="0.25">
      <c r="A45" s="88"/>
      <c r="B45" s="12" t="s">
        <v>23</v>
      </c>
      <c r="C45" s="12" t="s">
        <v>25</v>
      </c>
      <c r="D45" s="12" t="s">
        <v>25</v>
      </c>
      <c r="E45" s="12" t="s">
        <v>25</v>
      </c>
      <c r="F45" s="12" t="s">
        <v>25</v>
      </c>
      <c r="G45" s="13" t="s">
        <v>70</v>
      </c>
      <c r="H45" s="13" t="s">
        <v>66</v>
      </c>
      <c r="I45" s="13">
        <f>SUMIF(Mercado_Receita!$S$2:$S$241,"44378B3ConvencionalNão se aplicaNão se aplicaNão se aplicaNão se aplicaPonta",Mercado_Receita!$L$2:$L$241)+SUMIF(Mercado_Receita!$S$2:$S$241,"44378B3ConvencionalNão se aplicaNão se aplicaNão se aplicaNão se aplicaFora ponta",Mercado_Receita!$L$2:$L$241)+SUMIF(Mercado_Receita!$S$2:$S$241,"44378B3ConvencionalNão se aplicaNão se aplicaNão se aplicaNão se aplicaIntermediário",Mercado_Receita!$L$2:$L$241)+SUMIF(Mercado_Receita!$S$2:$S$241,"44378B3ConvencionalNão se aplicaNão se aplicaNão se aplicaNão se aplicaNão se aplica",Mercado_Receita!$L$2:$L$241)</f>
        <v>110.256</v>
      </c>
      <c r="J45" s="13">
        <f>SUMIF(Mercado_Receita!$S$2:$S$241,"44409B3ConvencionalNão se aplicaNão se aplicaNão se aplicaNão se aplicaPonta",Mercado_Receita!$L$2:$L$241)+SUMIF(Mercado_Receita!$S$2:$S$241,"44409B3ConvencionalNão se aplicaNão se aplicaNão se aplicaNão se aplicaFora ponta",Mercado_Receita!$L$2:$L$241)+SUMIF(Mercado_Receita!$S$2:$S$241,"44409B3ConvencionalNão se aplicaNão se aplicaNão se aplicaNão se aplicaIntermediário",Mercado_Receita!$L$2:$L$241)+SUMIF(Mercado_Receita!$S$2:$S$241,"44409B3ConvencionalNão se aplicaNão se aplicaNão se aplicaNão se aplicaNão se aplica",Mercado_Receita!$L$2:$L$241)</f>
        <v>134.42099999999999</v>
      </c>
      <c r="K45" s="13">
        <f>SUMIF(Mercado_Receita!$S$2:$S$241,"44440B3ConvencionalNão se aplicaNão se aplicaNão se aplicaNão se aplicaPonta",Mercado_Receita!$L$2:$L$241)+SUMIF(Mercado_Receita!$S$2:$S$241,"44440B3ConvencionalNão se aplicaNão se aplicaNão se aplicaNão se aplicaFora ponta",Mercado_Receita!$L$2:$L$241)+SUMIF(Mercado_Receita!$S$2:$S$241,"44440B3ConvencionalNão se aplicaNão se aplicaNão se aplicaNão se aplicaIntermediário",Mercado_Receita!$L$2:$L$241)+SUMIF(Mercado_Receita!$S$2:$S$241,"44440B3ConvencionalNão se aplicaNão se aplicaNão se aplicaNão se aplicaNão se aplica",Mercado_Receita!$L$2:$L$241)</f>
        <v>148.41900000000001</v>
      </c>
      <c r="L45" s="13">
        <f>SUMIF(Mercado_Receita!$S$2:$S$241,"44470B3ConvencionalNão se aplicaNão se aplicaNão se aplicaNão se aplicaPonta",Mercado_Receita!$L$2:$L$241)+SUMIF(Mercado_Receita!$S$2:$S$241,"44470B3ConvencionalNão se aplicaNão se aplicaNão se aplicaNão se aplicaFora ponta",Mercado_Receita!$L$2:$L$241)+SUMIF(Mercado_Receita!$S$2:$S$241,"44470B3ConvencionalNão se aplicaNão se aplicaNão se aplicaNão se aplicaIntermediário",Mercado_Receita!$L$2:$L$241)+SUMIF(Mercado_Receita!$S$2:$S$241,"44470B3ConvencionalNão se aplicaNão se aplicaNão se aplicaNão se aplicaNão se aplica",Mercado_Receita!$L$2:$L$241)</f>
        <v>142.51</v>
      </c>
      <c r="M45" s="13">
        <f>SUMIF(Mercado_Receita!$S$2:$S$241,"44501B3ConvencionalNão se aplicaNão se aplicaNão se aplicaNão se aplicaPonta",Mercado_Receita!$L$2:$L$241)+SUMIF(Mercado_Receita!$S$2:$S$241,"44501B3ConvencionalNão se aplicaNão se aplicaNão se aplicaNão se aplicaFora ponta",Mercado_Receita!$L$2:$L$241)+SUMIF(Mercado_Receita!$S$2:$S$241,"44501B3ConvencionalNão se aplicaNão se aplicaNão se aplicaNão se aplicaIntermediário",Mercado_Receita!$L$2:$L$241)+SUMIF(Mercado_Receita!$S$2:$S$241,"44501B3ConvencionalNão se aplicaNão se aplicaNão se aplicaNão se aplicaNão se aplica",Mercado_Receita!$L$2:$L$241)</f>
        <v>119.03000000000002</v>
      </c>
      <c r="N45" s="13">
        <f>SUMIF(Mercado_Receita!$S$2:$S$241,"44531B3ConvencionalNão se aplicaNão se aplicaNão se aplicaNão se aplicaPonta",Mercado_Receita!$L$2:$L$241)+SUMIF(Mercado_Receita!$S$2:$S$241,"44531B3ConvencionalNão se aplicaNão se aplicaNão se aplicaNão se aplicaFora ponta",Mercado_Receita!$L$2:$L$241)+SUMIF(Mercado_Receita!$S$2:$S$241,"44531B3ConvencionalNão se aplicaNão se aplicaNão se aplicaNão se aplicaIntermediário",Mercado_Receita!$L$2:$L$241)+SUMIF(Mercado_Receita!$S$2:$S$241,"44531B3ConvencionalNão se aplicaNão se aplicaNão se aplicaNão se aplicaNão se aplica",Mercado_Receita!$L$2:$L$241)</f>
        <v>112.006</v>
      </c>
      <c r="O45" s="13">
        <f>SUMIF(Mercado_Receita!$S$2:$S$241,"44562B3ConvencionalNão se aplicaNão se aplicaNão se aplicaNão se aplicaPonta",Mercado_Receita!$L$2:$L$241)+SUMIF(Mercado_Receita!$S$2:$S$241,"44562B3ConvencionalNão se aplicaNão se aplicaNão se aplicaNão se aplicaFora ponta",Mercado_Receita!$L$2:$L$241)+SUMIF(Mercado_Receita!$S$2:$S$241,"44562B3ConvencionalNão se aplicaNão se aplicaNão se aplicaNão se aplicaIntermediário",Mercado_Receita!$L$2:$L$241)+SUMIF(Mercado_Receita!$S$2:$S$241,"44562B3ConvencionalNão se aplicaNão se aplicaNão se aplicaNão se aplicaNão se aplica",Mercado_Receita!$L$2:$L$241)</f>
        <v>102.387</v>
      </c>
      <c r="P45" s="13">
        <f>SUMIF(Mercado_Receita!$S$2:$S$241,"44593B3ConvencionalNão se aplicaNão se aplicaNão se aplicaNão se aplicaPonta",Mercado_Receita!$L$2:$L$241)+SUMIF(Mercado_Receita!$S$2:$S$241,"44593B3ConvencionalNão se aplicaNão se aplicaNão se aplicaNão se aplicaFora ponta",Mercado_Receita!$L$2:$L$241)+SUMIF(Mercado_Receita!$S$2:$S$241,"44593B3ConvencionalNão se aplicaNão se aplicaNão se aplicaNão se aplicaIntermediário",Mercado_Receita!$L$2:$L$241)+SUMIF(Mercado_Receita!$S$2:$S$241,"44593B3ConvencionalNão se aplicaNão se aplicaNão se aplicaNão se aplicaNão se aplica",Mercado_Receita!$L$2:$L$241)</f>
        <v>113.848</v>
      </c>
      <c r="Q45" s="13">
        <f>SUMIF(Mercado_Receita!$S$2:$S$241,"44621B3ConvencionalNão se aplicaNão se aplicaNão se aplicaNão se aplicaPonta",Mercado_Receita!$L$2:$L$241)+SUMIF(Mercado_Receita!$S$2:$S$241,"44621B3ConvencionalNão se aplicaNão se aplicaNão se aplicaNão se aplicaFora ponta",Mercado_Receita!$L$2:$L$241)+SUMIF(Mercado_Receita!$S$2:$S$241,"44621B3ConvencionalNão se aplicaNão se aplicaNão se aplicaNão se aplicaIntermediário",Mercado_Receita!$L$2:$L$241)+SUMIF(Mercado_Receita!$S$2:$S$241,"44621B3ConvencionalNão se aplicaNão se aplicaNão se aplicaNão se aplicaNão se aplica",Mercado_Receita!$L$2:$L$241)</f>
        <v>120.431</v>
      </c>
      <c r="R45" s="13">
        <f>SUMIF(Mercado_Receita!$S$2:$S$241,"44652B3ConvencionalNão se aplicaNão se aplicaNão se aplicaNão se aplicaPonta",Mercado_Receita!$L$2:$L$241)+SUMIF(Mercado_Receita!$S$2:$S$241,"44652B3ConvencionalNão se aplicaNão se aplicaNão se aplicaNão se aplicaFora ponta",Mercado_Receita!$L$2:$L$241)+SUMIF(Mercado_Receita!$S$2:$S$241,"44652B3ConvencionalNão se aplicaNão se aplicaNão se aplicaNão se aplicaIntermediário",Mercado_Receita!$L$2:$L$241)+SUMIF(Mercado_Receita!$S$2:$S$241,"44652B3ConvencionalNão se aplicaNão se aplicaNão se aplicaNão se aplicaNão se aplica",Mercado_Receita!$L$2:$L$241)</f>
        <v>121.80800000000001</v>
      </c>
      <c r="S45" s="13">
        <f>SUMIF(Mercado_Receita!$S$2:$S$241,"44682B3ConvencionalNão se aplicaNão se aplicaNão se aplicaNão se aplicaPonta",Mercado_Receita!$L$2:$L$241)+SUMIF(Mercado_Receita!$S$2:$S$241,"44682B3ConvencionalNão se aplicaNão se aplicaNão se aplicaNão se aplicaFora ponta",Mercado_Receita!$L$2:$L$241)+SUMIF(Mercado_Receita!$S$2:$S$241,"44682B3ConvencionalNão se aplicaNão se aplicaNão se aplicaNão se aplicaIntermediário",Mercado_Receita!$L$2:$L$241)+SUMIF(Mercado_Receita!$S$2:$S$241,"44682B3ConvencionalNão se aplicaNão se aplicaNão se aplicaNão se aplicaNão se aplica",Mercado_Receita!$L$2:$L$241)</f>
        <v>121.76400000000001</v>
      </c>
      <c r="T45" s="13">
        <f>SUMIF(Mercado_Receita!$S$2:$S$241,"44713B3ConvencionalNão se aplicaNão se aplicaNão se aplicaNão se aplicaPonta",Mercado_Receita!$L$2:$L$241)+SUMIF(Mercado_Receita!$S$2:$S$241,"44713B3ConvencionalNão se aplicaNão se aplicaNão se aplicaNão se aplicaFora ponta",Mercado_Receita!$L$2:$L$241)+SUMIF(Mercado_Receita!$S$2:$S$241,"44713B3ConvencionalNão se aplicaNão se aplicaNão se aplicaNão se aplicaIntermediário",Mercado_Receita!$L$2:$L$241)+SUMIF(Mercado_Receita!$S$2:$S$241,"44713B3ConvencionalNão se aplicaNão se aplicaNão se aplicaNão se aplicaNão se aplica",Mercado_Receita!$L$2:$L$241)</f>
        <v>117.27000000000001</v>
      </c>
      <c r="U45" s="13">
        <f t="shared" si="0"/>
        <v>1464.15</v>
      </c>
      <c r="V45" s="13"/>
      <c r="W45" s="13"/>
    </row>
    <row r="46" spans="1:23" ht="11.25" customHeight="1" x14ac:dyDescent="0.25">
      <c r="A46" s="88"/>
      <c r="B46" s="12" t="s">
        <v>82</v>
      </c>
      <c r="C46" s="12" t="s">
        <v>25</v>
      </c>
      <c r="D46" s="12" t="s">
        <v>25</v>
      </c>
      <c r="E46" s="12" t="s">
        <v>25</v>
      </c>
      <c r="F46" s="12" t="s">
        <v>25</v>
      </c>
      <c r="G46" s="13" t="s">
        <v>70</v>
      </c>
      <c r="H46" s="13" t="s">
        <v>66</v>
      </c>
      <c r="I46" s="13">
        <f>SUMIF(Mercado_Receita!$S$2:$S$241,"44378B3Convencional pré-pagamentoNão se aplicaNão se aplicaNão se aplicaNão se aplicaPonta",Mercado_Receita!$L$2:$L$241)+SUMIF(Mercado_Receita!$S$2:$S$241,"44378B3Convencional pré-pagamentoNão se aplicaNão se aplicaNão se aplicaNão se aplicaFora ponta",Mercado_Receita!$L$2:$L$241)+SUMIF(Mercado_Receita!$S$2:$S$241,"44378B3Convencional pré-pagamentoNão se aplicaNão se aplicaNão se aplicaNão se aplicaIntermediário",Mercado_Receita!$L$2:$L$241)+SUMIF(Mercado_Receita!$S$2:$S$241,"44378B3Convencional pré-pagamentoNão se aplicaNão se aplicaNão se aplicaNão se aplicaNão se aplica",Mercado_Receita!$L$2:$L$241)</f>
        <v>0</v>
      </c>
      <c r="J46" s="13">
        <f>SUMIF(Mercado_Receita!$S$2:$S$241,"44409B3Convencional pré-pagamentoNão se aplicaNão se aplicaNão se aplicaNão se aplicaPonta",Mercado_Receita!$L$2:$L$241)+SUMIF(Mercado_Receita!$S$2:$S$241,"44409B3Convencional pré-pagamentoNão se aplicaNão se aplicaNão se aplicaNão se aplicaFora ponta",Mercado_Receita!$L$2:$L$241)+SUMIF(Mercado_Receita!$S$2:$S$241,"44409B3Convencional pré-pagamentoNão se aplicaNão se aplicaNão se aplicaNão se aplicaIntermediário",Mercado_Receita!$L$2:$L$241)+SUMIF(Mercado_Receita!$S$2:$S$241,"44409B3Convencional pré-pagamentoNão se aplicaNão se aplicaNão se aplicaNão se aplicaNão se aplica",Mercado_Receita!$L$2:$L$241)</f>
        <v>0</v>
      </c>
      <c r="K46" s="13">
        <f>SUMIF(Mercado_Receita!$S$2:$S$241,"44440B3Convencional pré-pagamentoNão se aplicaNão se aplicaNão se aplicaNão se aplicaPonta",Mercado_Receita!$L$2:$L$241)+SUMIF(Mercado_Receita!$S$2:$S$241,"44440B3Convencional pré-pagamentoNão se aplicaNão se aplicaNão se aplicaNão se aplicaFora ponta",Mercado_Receita!$L$2:$L$241)+SUMIF(Mercado_Receita!$S$2:$S$241,"44440B3Convencional pré-pagamentoNão se aplicaNão se aplicaNão se aplicaNão se aplicaIntermediário",Mercado_Receita!$L$2:$L$241)+SUMIF(Mercado_Receita!$S$2:$S$241,"44440B3Convencional pré-pagamentoNão se aplicaNão se aplicaNão se aplicaNão se aplicaNão se aplica",Mercado_Receita!$L$2:$L$241)</f>
        <v>0</v>
      </c>
      <c r="L46" s="13">
        <f>SUMIF(Mercado_Receita!$S$2:$S$241,"44470B3Convencional pré-pagamentoNão se aplicaNão se aplicaNão se aplicaNão se aplicaPonta",Mercado_Receita!$L$2:$L$241)+SUMIF(Mercado_Receita!$S$2:$S$241,"44470B3Convencional pré-pagamentoNão se aplicaNão se aplicaNão se aplicaNão se aplicaFora ponta",Mercado_Receita!$L$2:$L$241)+SUMIF(Mercado_Receita!$S$2:$S$241,"44470B3Convencional pré-pagamentoNão se aplicaNão se aplicaNão se aplicaNão se aplicaIntermediário",Mercado_Receita!$L$2:$L$241)+SUMIF(Mercado_Receita!$S$2:$S$241,"44470B3Convencional pré-pagamentoNão se aplicaNão se aplicaNão se aplicaNão se aplicaNão se aplica",Mercado_Receita!$L$2:$L$241)</f>
        <v>0</v>
      </c>
      <c r="M46" s="13">
        <f>SUMIF(Mercado_Receita!$S$2:$S$241,"44501B3Convencional pré-pagamentoNão se aplicaNão se aplicaNão se aplicaNão se aplicaPonta",Mercado_Receita!$L$2:$L$241)+SUMIF(Mercado_Receita!$S$2:$S$241,"44501B3Convencional pré-pagamentoNão se aplicaNão se aplicaNão se aplicaNão se aplicaFora ponta",Mercado_Receita!$L$2:$L$241)+SUMIF(Mercado_Receita!$S$2:$S$241,"44501B3Convencional pré-pagamentoNão se aplicaNão se aplicaNão se aplicaNão se aplicaIntermediário",Mercado_Receita!$L$2:$L$241)+SUMIF(Mercado_Receita!$S$2:$S$241,"44501B3Convencional pré-pagamentoNão se aplicaNão se aplicaNão se aplicaNão se aplicaNão se aplica",Mercado_Receita!$L$2:$L$241)</f>
        <v>0</v>
      </c>
      <c r="N46" s="13">
        <f>SUMIF(Mercado_Receita!$S$2:$S$241,"44531B3Convencional pré-pagamentoNão se aplicaNão se aplicaNão se aplicaNão se aplicaPonta",Mercado_Receita!$L$2:$L$241)+SUMIF(Mercado_Receita!$S$2:$S$241,"44531B3Convencional pré-pagamentoNão se aplicaNão se aplicaNão se aplicaNão se aplicaFora ponta",Mercado_Receita!$L$2:$L$241)+SUMIF(Mercado_Receita!$S$2:$S$241,"44531B3Convencional pré-pagamentoNão se aplicaNão se aplicaNão se aplicaNão se aplicaIntermediário",Mercado_Receita!$L$2:$L$241)+SUMIF(Mercado_Receita!$S$2:$S$241,"44531B3Convencional pré-pagamentoNão se aplicaNão se aplicaNão se aplicaNão se aplicaNão se aplica",Mercado_Receita!$L$2:$L$241)</f>
        <v>0</v>
      </c>
      <c r="O46" s="13">
        <f>SUMIF(Mercado_Receita!$S$2:$S$241,"44562B3Convencional pré-pagamentoNão se aplicaNão se aplicaNão se aplicaNão se aplicaPonta",Mercado_Receita!$L$2:$L$241)+SUMIF(Mercado_Receita!$S$2:$S$241,"44562B3Convencional pré-pagamentoNão se aplicaNão se aplicaNão se aplicaNão se aplicaFora ponta",Mercado_Receita!$L$2:$L$241)+SUMIF(Mercado_Receita!$S$2:$S$241,"44562B3Convencional pré-pagamentoNão se aplicaNão se aplicaNão se aplicaNão se aplicaIntermediário",Mercado_Receita!$L$2:$L$241)+SUMIF(Mercado_Receita!$S$2:$S$241,"44562B3Convencional pré-pagamentoNão se aplicaNão se aplicaNão se aplicaNão se aplicaNão se aplica",Mercado_Receita!$L$2:$L$241)</f>
        <v>0</v>
      </c>
      <c r="P46" s="13">
        <f>SUMIF(Mercado_Receita!$S$2:$S$241,"44593B3Convencional pré-pagamentoNão se aplicaNão se aplicaNão se aplicaNão se aplicaPonta",Mercado_Receita!$L$2:$L$241)+SUMIF(Mercado_Receita!$S$2:$S$241,"44593B3Convencional pré-pagamentoNão se aplicaNão se aplicaNão se aplicaNão se aplicaFora ponta",Mercado_Receita!$L$2:$L$241)+SUMIF(Mercado_Receita!$S$2:$S$241,"44593B3Convencional pré-pagamentoNão se aplicaNão se aplicaNão se aplicaNão se aplicaIntermediário",Mercado_Receita!$L$2:$L$241)+SUMIF(Mercado_Receita!$S$2:$S$241,"44593B3Convencional pré-pagamentoNão se aplicaNão se aplicaNão se aplicaNão se aplicaNão se aplica",Mercado_Receita!$L$2:$L$241)</f>
        <v>0</v>
      </c>
      <c r="Q46" s="13">
        <f>SUMIF(Mercado_Receita!$S$2:$S$241,"44621B3Convencional pré-pagamentoNão se aplicaNão se aplicaNão se aplicaNão se aplicaPonta",Mercado_Receita!$L$2:$L$241)+SUMIF(Mercado_Receita!$S$2:$S$241,"44621B3Convencional pré-pagamentoNão se aplicaNão se aplicaNão se aplicaNão se aplicaFora ponta",Mercado_Receita!$L$2:$L$241)+SUMIF(Mercado_Receita!$S$2:$S$241,"44621B3Convencional pré-pagamentoNão se aplicaNão se aplicaNão se aplicaNão se aplicaIntermediário",Mercado_Receita!$L$2:$L$241)+SUMIF(Mercado_Receita!$S$2:$S$241,"44621B3Convencional pré-pagamentoNão se aplicaNão se aplicaNão se aplicaNão se aplicaNão se aplica",Mercado_Receita!$L$2:$L$241)</f>
        <v>0</v>
      </c>
      <c r="R46" s="13">
        <f>SUMIF(Mercado_Receita!$S$2:$S$241,"44652B3Convencional pré-pagamentoNão se aplicaNão se aplicaNão se aplicaNão se aplicaPonta",Mercado_Receita!$L$2:$L$241)+SUMIF(Mercado_Receita!$S$2:$S$241,"44652B3Convencional pré-pagamentoNão se aplicaNão se aplicaNão se aplicaNão se aplicaFora ponta",Mercado_Receita!$L$2:$L$241)+SUMIF(Mercado_Receita!$S$2:$S$241,"44652B3Convencional pré-pagamentoNão se aplicaNão se aplicaNão se aplicaNão se aplicaIntermediário",Mercado_Receita!$L$2:$L$241)+SUMIF(Mercado_Receita!$S$2:$S$241,"44652B3Convencional pré-pagamentoNão se aplicaNão se aplicaNão se aplicaNão se aplicaNão se aplica",Mercado_Receita!$L$2:$L$241)</f>
        <v>0</v>
      </c>
      <c r="S46" s="13">
        <f>SUMIF(Mercado_Receita!$S$2:$S$241,"44682B3Convencional pré-pagamentoNão se aplicaNão se aplicaNão se aplicaNão se aplicaPonta",Mercado_Receita!$L$2:$L$241)+SUMIF(Mercado_Receita!$S$2:$S$241,"44682B3Convencional pré-pagamentoNão se aplicaNão se aplicaNão se aplicaNão se aplicaFora ponta",Mercado_Receita!$L$2:$L$241)+SUMIF(Mercado_Receita!$S$2:$S$241,"44682B3Convencional pré-pagamentoNão se aplicaNão se aplicaNão se aplicaNão se aplicaIntermediário",Mercado_Receita!$L$2:$L$241)+SUMIF(Mercado_Receita!$S$2:$S$241,"44682B3Convencional pré-pagamentoNão se aplicaNão se aplicaNão se aplicaNão se aplicaNão se aplica",Mercado_Receita!$L$2:$L$241)</f>
        <v>0</v>
      </c>
      <c r="T46" s="13">
        <f>SUMIF(Mercado_Receita!$S$2:$S$241,"44713B3Convencional pré-pagamentoNão se aplicaNão se aplicaNão se aplicaNão se aplicaPonta",Mercado_Receita!$L$2:$L$241)+SUMIF(Mercado_Receita!$S$2:$S$241,"44713B3Convencional pré-pagamentoNão se aplicaNão se aplicaNão se aplicaNão se aplicaFora ponta",Mercado_Receita!$L$2:$L$241)+SUMIF(Mercado_Receita!$S$2:$S$241,"44713B3Convencional pré-pagamentoNão se aplicaNão se aplicaNão se aplicaNão se aplicaIntermediário",Mercado_Receita!$L$2:$L$241)+SUMIF(Mercado_Receita!$S$2:$S$241,"44713B3Convencional pré-pagamentoNão se aplicaNão se aplicaNão se aplicaNão se aplicaNão se aplica",Mercado_Receita!$L$2:$L$241)</f>
        <v>0</v>
      </c>
      <c r="U46" s="13">
        <f t="shared" si="0"/>
        <v>0</v>
      </c>
      <c r="V46" s="13"/>
      <c r="W46" s="13"/>
    </row>
    <row r="47" spans="1:23" ht="11.25" customHeight="1" x14ac:dyDescent="0.25">
      <c r="A47" s="87" t="s">
        <v>44</v>
      </c>
      <c r="B47" s="87" t="s">
        <v>23</v>
      </c>
      <c r="C47" s="87" t="s">
        <v>45</v>
      </c>
      <c r="D47" s="12" t="s">
        <v>46</v>
      </c>
      <c r="E47" s="12" t="s">
        <v>25</v>
      </c>
      <c r="F47" s="12" t="s">
        <v>25</v>
      </c>
      <c r="G47" s="13" t="s">
        <v>70</v>
      </c>
      <c r="H47" s="13" t="s">
        <v>66</v>
      </c>
      <c r="I47" s="13">
        <f>SUMIF(Mercado_Receita!$S$2:$S$241,"44378B4ConvencionalIluminação públicaIluminação pública – B4aNão se aplicaNão se aplicaPonta",Mercado_Receita!$L$2:$L$241)+SUMIF(Mercado_Receita!$S$2:$S$241,"44378B4ConvencionalIluminação públicaIluminação pública – B4aNão se aplicaNão se aplicaFora ponta",Mercado_Receita!$L$2:$L$241)+SUMIF(Mercado_Receita!$S$2:$S$241,"44378B4ConvencionalIluminação públicaIluminação pública – B4aNão se aplicaNão se aplicaIntermediário",Mercado_Receita!$L$2:$L$241)+SUMIF(Mercado_Receita!$S$2:$S$241,"44378B4ConvencionalIluminação públicaIluminação pública – B4aNão se aplicaNão se aplicaNão se aplica",Mercado_Receita!$L$2:$L$241)</f>
        <v>40.082999999999998</v>
      </c>
      <c r="J47" s="13">
        <f>SUMIF(Mercado_Receita!$S$2:$S$241,"44409B4ConvencionalIluminação públicaIluminação pública – B4aNão se aplicaNão se aplicaPonta",Mercado_Receita!$L$2:$L$241)+SUMIF(Mercado_Receita!$S$2:$S$241,"44409B4ConvencionalIluminação públicaIluminação pública – B4aNão se aplicaNão se aplicaFora ponta",Mercado_Receita!$L$2:$L$241)+SUMIF(Mercado_Receita!$S$2:$S$241,"44409B4ConvencionalIluminação públicaIluminação pública – B4aNão se aplicaNão se aplicaIntermediário",Mercado_Receita!$L$2:$L$241)+SUMIF(Mercado_Receita!$S$2:$S$241,"44409B4ConvencionalIluminação públicaIluminação pública – B4aNão se aplicaNão se aplicaNão se aplica",Mercado_Receita!$L$2:$L$241)</f>
        <v>41.420999999999999</v>
      </c>
      <c r="K47" s="13">
        <f>SUMIF(Mercado_Receita!$S$2:$S$241,"44440B4ConvencionalIluminação públicaIluminação pública – B4aNão se aplicaNão se aplicaPonta",Mercado_Receita!$L$2:$L$241)+SUMIF(Mercado_Receita!$S$2:$S$241,"44440B4ConvencionalIluminação públicaIluminação pública – B4aNão se aplicaNão se aplicaFora ponta",Mercado_Receita!$L$2:$L$241)+SUMIF(Mercado_Receita!$S$2:$S$241,"44440B4ConvencionalIluminação públicaIluminação pública – B4aNão se aplicaNão se aplicaIntermediário",Mercado_Receita!$L$2:$L$241)+SUMIF(Mercado_Receita!$S$2:$S$241,"44440B4ConvencionalIluminação públicaIluminação pública – B4aNão se aplicaNão se aplicaNão se aplica",Mercado_Receita!$L$2:$L$241)</f>
        <v>41.75</v>
      </c>
      <c r="L47" s="13">
        <f>SUMIF(Mercado_Receita!$S$2:$S$241,"44470B4ConvencionalIluminação públicaIluminação pública – B4aNão se aplicaNão se aplicaPonta",Mercado_Receita!$L$2:$L$241)+SUMIF(Mercado_Receita!$S$2:$S$241,"44470B4ConvencionalIluminação públicaIluminação pública – B4aNão se aplicaNão se aplicaFora ponta",Mercado_Receita!$L$2:$L$241)+SUMIF(Mercado_Receita!$S$2:$S$241,"44470B4ConvencionalIluminação públicaIluminação pública – B4aNão se aplicaNão se aplicaIntermediário",Mercado_Receita!$L$2:$L$241)+SUMIF(Mercado_Receita!$S$2:$S$241,"44470B4ConvencionalIluminação públicaIluminação pública – B4aNão se aplicaNão se aplicaNão se aplica",Mercado_Receita!$L$2:$L$241)</f>
        <v>40.631</v>
      </c>
      <c r="M47" s="13">
        <f>SUMIF(Mercado_Receita!$S$2:$S$241,"44501B4ConvencionalIluminação públicaIluminação pública – B4aNão se aplicaNão se aplicaPonta",Mercado_Receita!$L$2:$L$241)+SUMIF(Mercado_Receita!$S$2:$S$241,"44501B4ConvencionalIluminação públicaIluminação pública – B4aNão se aplicaNão se aplicaFora ponta",Mercado_Receita!$L$2:$L$241)+SUMIF(Mercado_Receita!$S$2:$S$241,"44501B4ConvencionalIluminação públicaIluminação pública – B4aNão se aplicaNão se aplicaIntermediário",Mercado_Receita!$L$2:$L$241)+SUMIF(Mercado_Receita!$S$2:$S$241,"44501B4ConvencionalIluminação públicaIluminação pública – B4aNão se aplicaNão se aplicaNão se aplica",Mercado_Receita!$L$2:$L$241)</f>
        <v>41.988</v>
      </c>
      <c r="N47" s="13">
        <f>SUMIF(Mercado_Receita!$S$2:$S$241,"44531B4ConvencionalIluminação públicaIluminação pública – B4aNão se aplicaNão se aplicaPonta",Mercado_Receita!$L$2:$L$241)+SUMIF(Mercado_Receita!$S$2:$S$241,"44531B4ConvencionalIluminação públicaIluminação pública – B4aNão se aplicaNão se aplicaFora ponta",Mercado_Receita!$L$2:$L$241)+SUMIF(Mercado_Receita!$S$2:$S$241,"44531B4ConvencionalIluminação públicaIluminação pública – B4aNão se aplicaNão se aplicaIntermediário",Mercado_Receita!$L$2:$L$241)+SUMIF(Mercado_Receita!$S$2:$S$241,"44531B4ConvencionalIluminação públicaIluminação pública – B4aNão se aplicaNão se aplicaNão se aplica",Mercado_Receita!$L$2:$L$241)</f>
        <v>40.347000000000001</v>
      </c>
      <c r="O47" s="13">
        <f>SUMIF(Mercado_Receita!$S$2:$S$241,"44562B4ConvencionalIluminação públicaIluminação pública – B4aNão se aplicaNão se aplicaPonta",Mercado_Receita!$L$2:$L$241)+SUMIF(Mercado_Receita!$S$2:$S$241,"44562B4ConvencionalIluminação públicaIluminação pública – B4aNão se aplicaNão se aplicaFora ponta",Mercado_Receita!$L$2:$L$241)+SUMIF(Mercado_Receita!$S$2:$S$241,"44562B4ConvencionalIluminação públicaIluminação pública – B4aNão se aplicaNão se aplicaIntermediário",Mercado_Receita!$L$2:$L$241)+SUMIF(Mercado_Receita!$S$2:$S$241,"44562B4ConvencionalIluminação públicaIluminação pública – B4aNão se aplicaNão se aplicaNão se aplica",Mercado_Receita!$L$2:$L$241)</f>
        <v>41.988</v>
      </c>
      <c r="P47" s="13">
        <f>SUMIF(Mercado_Receita!$S$2:$S$241,"44593B4ConvencionalIluminação públicaIluminação pública – B4aNão se aplicaNão se aplicaPonta",Mercado_Receita!$L$2:$L$241)+SUMIF(Mercado_Receita!$S$2:$S$241,"44593B4ConvencionalIluminação públicaIluminação pública – B4aNão se aplicaNão se aplicaFora ponta",Mercado_Receita!$L$2:$L$241)+SUMIF(Mercado_Receita!$S$2:$S$241,"44593B4ConvencionalIluminação públicaIluminação pública – B4aNão se aplicaNão se aplicaIntermediário",Mercado_Receita!$L$2:$L$241)+SUMIF(Mercado_Receita!$S$2:$S$241,"44593B4ConvencionalIluminação públicaIluminação pública – B4aNão se aplicaNão se aplicaNão se aplica",Mercado_Receita!$L$2:$L$241)</f>
        <v>41.677</v>
      </c>
      <c r="Q47" s="13">
        <f>SUMIF(Mercado_Receita!$S$2:$S$241,"44621B4ConvencionalIluminação públicaIluminação pública – B4aNão se aplicaNão se aplicaPonta",Mercado_Receita!$L$2:$L$241)+SUMIF(Mercado_Receita!$S$2:$S$241,"44621B4ConvencionalIluminação públicaIluminação pública – B4aNão se aplicaNão se aplicaFora ponta",Mercado_Receita!$L$2:$L$241)+SUMIF(Mercado_Receita!$S$2:$S$241,"44621B4ConvencionalIluminação públicaIluminação pública – B4aNão se aplicaNão se aplicaIntermediário",Mercado_Receita!$L$2:$L$241)+SUMIF(Mercado_Receita!$S$2:$S$241,"44621B4ConvencionalIluminação públicaIluminação pública – B4aNão se aplicaNão se aplicaNão se aplica",Mercado_Receita!$L$2:$L$241)</f>
        <v>37.658000000000001</v>
      </c>
      <c r="R47" s="13">
        <f>SUMIF(Mercado_Receita!$S$2:$S$241,"44652B4ConvencionalIluminação públicaIluminação pública – B4aNão se aplicaNão se aplicaPonta",Mercado_Receita!$L$2:$L$241)+SUMIF(Mercado_Receita!$S$2:$S$241,"44652B4ConvencionalIluminação públicaIluminação pública – B4aNão se aplicaNão se aplicaFora ponta",Mercado_Receita!$L$2:$L$241)+SUMIF(Mercado_Receita!$S$2:$S$241,"44652B4ConvencionalIluminação públicaIluminação pública – B4aNão se aplicaNão se aplicaIntermediário",Mercado_Receita!$L$2:$L$241)+SUMIF(Mercado_Receita!$S$2:$S$241,"44652B4ConvencionalIluminação públicaIluminação pública – B4aNão se aplicaNão se aplicaNão se aplica",Mercado_Receita!$L$2:$L$241)</f>
        <v>41.695</v>
      </c>
      <c r="S47" s="13">
        <f>SUMIF(Mercado_Receita!$S$2:$S$241,"44682B4ConvencionalIluminação públicaIluminação pública – B4aNão se aplicaNão se aplicaPonta",Mercado_Receita!$L$2:$L$241)+SUMIF(Mercado_Receita!$S$2:$S$241,"44682B4ConvencionalIluminação públicaIluminação pública – B4aNão se aplicaNão se aplicaFora ponta",Mercado_Receita!$L$2:$L$241)+SUMIF(Mercado_Receita!$S$2:$S$241,"44682B4ConvencionalIluminação públicaIluminação pública – B4aNão se aplicaNão se aplicaIntermediário",Mercado_Receita!$L$2:$L$241)+SUMIF(Mercado_Receita!$S$2:$S$241,"44682B4ConvencionalIluminação públicaIluminação pública – B4aNão se aplicaNão se aplicaNão se aplica",Mercado_Receita!$L$2:$L$241)</f>
        <v>40.347999999999999</v>
      </c>
      <c r="T47" s="13">
        <f>SUMIF(Mercado_Receita!$S$2:$S$241,"44713B4ConvencionalIluminação públicaIluminação pública – B4aNão se aplicaNão se aplicaPonta",Mercado_Receita!$L$2:$L$241)+SUMIF(Mercado_Receita!$S$2:$S$241,"44713B4ConvencionalIluminação públicaIluminação pública – B4aNão se aplicaNão se aplicaFora ponta",Mercado_Receita!$L$2:$L$241)+SUMIF(Mercado_Receita!$S$2:$S$241,"44713B4ConvencionalIluminação públicaIluminação pública – B4aNão se aplicaNão se aplicaIntermediário",Mercado_Receita!$L$2:$L$241)+SUMIF(Mercado_Receita!$S$2:$S$241,"44713B4ConvencionalIluminação públicaIluminação pública – B4aNão se aplicaNão se aplicaNão se aplica",Mercado_Receita!$L$2:$L$241)</f>
        <v>41.695</v>
      </c>
      <c r="U47" s="13">
        <f t="shared" si="0"/>
        <v>491.28100000000001</v>
      </c>
      <c r="V47" s="13"/>
      <c r="W47" s="13"/>
    </row>
    <row r="48" spans="1:23" ht="11.25" customHeight="1" x14ac:dyDescent="0.25">
      <c r="A48" s="88"/>
      <c r="B48" s="88"/>
      <c r="C48" s="88"/>
      <c r="D48" s="13" t="s">
        <v>85</v>
      </c>
      <c r="E48" s="13" t="s">
        <v>25</v>
      </c>
      <c r="F48" s="13" t="s">
        <v>25</v>
      </c>
      <c r="G48" s="13" t="s">
        <v>70</v>
      </c>
      <c r="H48" s="13" t="s">
        <v>66</v>
      </c>
      <c r="I48" s="13">
        <f>SUMIF(Mercado_Receita!$S$2:$S$241,"44378B4ConvencionalIluminação públicaIluminação pública – B4bNão se aplicaNão se aplicaPonta",Mercado_Receita!$L$2:$L$241)+SUMIF(Mercado_Receita!$S$2:$S$241,"44378B4ConvencionalIluminação públicaIluminação pública – B4bNão se aplicaNão se aplicaFora ponta",Mercado_Receita!$L$2:$L$241)+SUMIF(Mercado_Receita!$S$2:$S$241,"44378B4ConvencionalIluminação públicaIluminação pública – B4bNão se aplicaNão se aplicaIntermediário",Mercado_Receita!$L$2:$L$241)+SUMIF(Mercado_Receita!$S$2:$S$241,"44378B4ConvencionalIluminação públicaIluminação pública – B4bNão se aplicaNão se aplicaNão se aplica",Mercado_Receita!$L$2:$L$241)</f>
        <v>0</v>
      </c>
      <c r="J48" s="13">
        <f>SUMIF(Mercado_Receita!$S$2:$S$241,"44409B4ConvencionalIluminação públicaIluminação pública – B4bNão se aplicaNão se aplicaPonta",Mercado_Receita!$L$2:$L$241)+SUMIF(Mercado_Receita!$S$2:$S$241,"44409B4ConvencionalIluminação públicaIluminação pública – B4bNão se aplicaNão se aplicaFora ponta",Mercado_Receita!$L$2:$L$241)+SUMIF(Mercado_Receita!$S$2:$S$241,"44409B4ConvencionalIluminação públicaIluminação pública – B4bNão se aplicaNão se aplicaIntermediário",Mercado_Receita!$L$2:$L$241)+SUMIF(Mercado_Receita!$S$2:$S$241,"44409B4ConvencionalIluminação públicaIluminação pública – B4bNão se aplicaNão se aplicaNão se aplica",Mercado_Receita!$L$2:$L$241)</f>
        <v>0</v>
      </c>
      <c r="K48" s="13">
        <f>SUMIF(Mercado_Receita!$S$2:$S$241,"44440B4ConvencionalIluminação públicaIluminação pública – B4bNão se aplicaNão se aplicaPonta",Mercado_Receita!$L$2:$L$241)+SUMIF(Mercado_Receita!$S$2:$S$241,"44440B4ConvencionalIluminação públicaIluminação pública – B4bNão se aplicaNão se aplicaFora ponta",Mercado_Receita!$L$2:$L$241)+SUMIF(Mercado_Receita!$S$2:$S$241,"44440B4ConvencionalIluminação públicaIluminação pública – B4bNão se aplicaNão se aplicaIntermediário",Mercado_Receita!$L$2:$L$241)+SUMIF(Mercado_Receita!$S$2:$S$241,"44440B4ConvencionalIluminação públicaIluminação pública – B4bNão se aplicaNão se aplicaNão se aplica",Mercado_Receita!$L$2:$L$241)</f>
        <v>0</v>
      </c>
      <c r="L48" s="13">
        <f>SUMIF(Mercado_Receita!$S$2:$S$241,"44470B4ConvencionalIluminação públicaIluminação pública – B4bNão se aplicaNão se aplicaPonta",Mercado_Receita!$L$2:$L$241)+SUMIF(Mercado_Receita!$S$2:$S$241,"44470B4ConvencionalIluminação públicaIluminação pública – B4bNão se aplicaNão se aplicaFora ponta",Mercado_Receita!$L$2:$L$241)+SUMIF(Mercado_Receita!$S$2:$S$241,"44470B4ConvencionalIluminação públicaIluminação pública – B4bNão se aplicaNão se aplicaIntermediário",Mercado_Receita!$L$2:$L$241)+SUMIF(Mercado_Receita!$S$2:$S$241,"44470B4ConvencionalIluminação públicaIluminação pública – B4bNão se aplicaNão se aplicaNão se aplica",Mercado_Receita!$L$2:$L$241)</f>
        <v>0</v>
      </c>
      <c r="M48" s="13">
        <f>SUMIF(Mercado_Receita!$S$2:$S$241,"44501B4ConvencionalIluminação públicaIluminação pública – B4bNão se aplicaNão se aplicaPonta",Mercado_Receita!$L$2:$L$241)+SUMIF(Mercado_Receita!$S$2:$S$241,"44501B4ConvencionalIluminação públicaIluminação pública – B4bNão se aplicaNão se aplicaFora ponta",Mercado_Receita!$L$2:$L$241)+SUMIF(Mercado_Receita!$S$2:$S$241,"44501B4ConvencionalIluminação públicaIluminação pública – B4bNão se aplicaNão se aplicaIntermediário",Mercado_Receita!$L$2:$L$241)+SUMIF(Mercado_Receita!$S$2:$S$241,"44501B4ConvencionalIluminação públicaIluminação pública – B4bNão se aplicaNão se aplicaNão se aplica",Mercado_Receita!$L$2:$L$241)</f>
        <v>0</v>
      </c>
      <c r="N48" s="13">
        <f>SUMIF(Mercado_Receita!$S$2:$S$241,"44531B4ConvencionalIluminação públicaIluminação pública – B4bNão se aplicaNão se aplicaPonta",Mercado_Receita!$L$2:$L$241)+SUMIF(Mercado_Receita!$S$2:$S$241,"44531B4ConvencionalIluminação públicaIluminação pública – B4bNão se aplicaNão se aplicaFora ponta",Mercado_Receita!$L$2:$L$241)+SUMIF(Mercado_Receita!$S$2:$S$241,"44531B4ConvencionalIluminação públicaIluminação pública – B4bNão se aplicaNão se aplicaIntermediário",Mercado_Receita!$L$2:$L$241)+SUMIF(Mercado_Receita!$S$2:$S$241,"44531B4ConvencionalIluminação públicaIluminação pública – B4bNão se aplicaNão se aplicaNão se aplica",Mercado_Receita!$L$2:$L$241)</f>
        <v>0</v>
      </c>
      <c r="O48" s="13">
        <f>SUMIF(Mercado_Receita!$S$2:$S$241,"44562B4ConvencionalIluminação públicaIluminação pública – B4bNão se aplicaNão se aplicaPonta",Mercado_Receita!$L$2:$L$241)+SUMIF(Mercado_Receita!$S$2:$S$241,"44562B4ConvencionalIluminação públicaIluminação pública – B4bNão se aplicaNão se aplicaFora ponta",Mercado_Receita!$L$2:$L$241)+SUMIF(Mercado_Receita!$S$2:$S$241,"44562B4ConvencionalIluminação públicaIluminação pública – B4bNão se aplicaNão se aplicaIntermediário",Mercado_Receita!$L$2:$L$241)+SUMIF(Mercado_Receita!$S$2:$S$241,"44562B4ConvencionalIluminação públicaIluminação pública – B4bNão se aplicaNão se aplicaNão se aplica",Mercado_Receita!$L$2:$L$241)</f>
        <v>0</v>
      </c>
      <c r="P48" s="13">
        <f>SUMIF(Mercado_Receita!$S$2:$S$241,"44593B4ConvencionalIluminação públicaIluminação pública – B4bNão se aplicaNão se aplicaPonta",Mercado_Receita!$L$2:$L$241)+SUMIF(Mercado_Receita!$S$2:$S$241,"44593B4ConvencionalIluminação públicaIluminação pública – B4bNão se aplicaNão se aplicaFora ponta",Mercado_Receita!$L$2:$L$241)+SUMIF(Mercado_Receita!$S$2:$S$241,"44593B4ConvencionalIluminação públicaIluminação pública – B4bNão se aplicaNão se aplicaIntermediário",Mercado_Receita!$L$2:$L$241)+SUMIF(Mercado_Receita!$S$2:$S$241,"44593B4ConvencionalIluminação públicaIluminação pública – B4bNão se aplicaNão se aplicaNão se aplica",Mercado_Receita!$L$2:$L$241)</f>
        <v>0</v>
      </c>
      <c r="Q48" s="13">
        <f>SUMIF(Mercado_Receita!$S$2:$S$241,"44621B4ConvencionalIluminação públicaIluminação pública – B4bNão se aplicaNão se aplicaPonta",Mercado_Receita!$L$2:$L$241)+SUMIF(Mercado_Receita!$S$2:$S$241,"44621B4ConvencionalIluminação públicaIluminação pública – B4bNão se aplicaNão se aplicaFora ponta",Mercado_Receita!$L$2:$L$241)+SUMIF(Mercado_Receita!$S$2:$S$241,"44621B4ConvencionalIluminação públicaIluminação pública – B4bNão se aplicaNão se aplicaIntermediário",Mercado_Receita!$L$2:$L$241)+SUMIF(Mercado_Receita!$S$2:$S$241,"44621B4ConvencionalIluminação públicaIluminação pública – B4bNão se aplicaNão se aplicaNão se aplica",Mercado_Receita!$L$2:$L$241)</f>
        <v>0</v>
      </c>
      <c r="R48" s="13">
        <f>SUMIF(Mercado_Receita!$S$2:$S$241,"44652B4ConvencionalIluminação públicaIluminação pública – B4bNão se aplicaNão se aplicaPonta",Mercado_Receita!$L$2:$L$241)+SUMIF(Mercado_Receita!$S$2:$S$241,"44652B4ConvencionalIluminação públicaIluminação pública – B4bNão se aplicaNão se aplicaFora ponta",Mercado_Receita!$L$2:$L$241)+SUMIF(Mercado_Receita!$S$2:$S$241,"44652B4ConvencionalIluminação públicaIluminação pública – B4bNão se aplicaNão se aplicaIntermediário",Mercado_Receita!$L$2:$L$241)+SUMIF(Mercado_Receita!$S$2:$S$241,"44652B4ConvencionalIluminação públicaIluminação pública – B4bNão se aplicaNão se aplicaNão se aplica",Mercado_Receita!$L$2:$L$241)</f>
        <v>0</v>
      </c>
      <c r="S48" s="13">
        <f>SUMIF(Mercado_Receita!$S$2:$S$241,"44682B4ConvencionalIluminação públicaIluminação pública – B4bNão se aplicaNão se aplicaPonta",Mercado_Receita!$L$2:$L$241)+SUMIF(Mercado_Receita!$S$2:$S$241,"44682B4ConvencionalIluminação públicaIluminação pública – B4bNão se aplicaNão se aplicaFora ponta",Mercado_Receita!$L$2:$L$241)+SUMIF(Mercado_Receita!$S$2:$S$241,"44682B4ConvencionalIluminação públicaIluminação pública – B4bNão se aplicaNão se aplicaIntermediário",Mercado_Receita!$L$2:$L$241)+SUMIF(Mercado_Receita!$S$2:$S$241,"44682B4ConvencionalIluminação públicaIluminação pública – B4bNão se aplicaNão se aplicaNão se aplica",Mercado_Receita!$L$2:$L$241)</f>
        <v>0</v>
      </c>
      <c r="T48" s="13">
        <f>SUMIF(Mercado_Receita!$S$2:$S$241,"44713B4ConvencionalIluminação públicaIluminação pública – B4bNão se aplicaNão se aplicaPonta",Mercado_Receita!$L$2:$L$241)+SUMIF(Mercado_Receita!$S$2:$S$241,"44713B4ConvencionalIluminação públicaIluminação pública – B4bNão se aplicaNão se aplicaFora ponta",Mercado_Receita!$L$2:$L$241)+SUMIF(Mercado_Receita!$S$2:$S$241,"44713B4ConvencionalIluminação públicaIluminação pública – B4bNão se aplicaNão se aplicaIntermediário",Mercado_Receita!$L$2:$L$241)+SUMIF(Mercado_Receita!$S$2:$S$241,"44713B4ConvencionalIluminação públicaIluminação pública – B4bNão se aplicaNão se aplicaNão se aplica",Mercado_Receita!$L$2:$L$241)</f>
        <v>0</v>
      </c>
      <c r="U48" s="13">
        <f t="shared" si="0"/>
        <v>0</v>
      </c>
      <c r="V48" s="13"/>
      <c r="W48" s="13"/>
    </row>
    <row r="49" spans="1:23" ht="11.25" customHeight="1" x14ac:dyDescent="0.25">
      <c r="A49" s="89" t="s">
        <v>398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13"/>
      <c r="W49" s="13"/>
    </row>
  </sheetData>
  <mergeCells count="55"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  <mergeCell ref="C31:C33"/>
    <mergeCell ref="B31:B33"/>
    <mergeCell ref="F35:F37"/>
    <mergeCell ref="E35:E37"/>
    <mergeCell ref="D35:D37"/>
    <mergeCell ref="C35:C37"/>
    <mergeCell ref="B35:B37"/>
    <mergeCell ref="C17:C21"/>
    <mergeCell ref="B17:B21"/>
    <mergeCell ref="C22:C26"/>
    <mergeCell ref="B22:B26"/>
    <mergeCell ref="A14:A26"/>
    <mergeCell ref="F27:F29"/>
    <mergeCell ref="E27:E29"/>
    <mergeCell ref="D27:D29"/>
    <mergeCell ref="C27:C29"/>
    <mergeCell ref="B27:B29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A36F-195F-4E8D-8A52-C9CD709FEF9C}">
  <dimension ref="A1:AD40"/>
  <sheetViews>
    <sheetView showGridLines="0" workbookViewId="0">
      <selection activeCell="A2" sqref="A2:A4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5.7109375" style="9" bestFit="1" customWidth="1"/>
    <col min="10" max="13" width="7" style="9" bestFit="1" customWidth="1"/>
    <col min="14" max="14" width="6.140625" style="9" bestFit="1" customWidth="1"/>
    <col min="15" max="15" width="7" style="9" bestFit="1" customWidth="1"/>
    <col min="16" max="16" width="5.7109375" style="9" bestFit="1" customWidth="1"/>
    <col min="17" max="17" width="6.42578125" style="9" bestFit="1" customWidth="1"/>
    <col min="18" max="18" width="5.85546875" style="9" bestFit="1" customWidth="1"/>
    <col min="19" max="19" width="6.140625" style="9" bestFit="1" customWidth="1"/>
    <col min="20" max="20" width="5.7109375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56</v>
      </c>
      <c r="B1" s="10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1">
        <v>44378</v>
      </c>
      <c r="J1" s="11">
        <v>44409</v>
      </c>
      <c r="K1" s="11">
        <v>44440</v>
      </c>
      <c r="L1" s="11">
        <v>44470</v>
      </c>
      <c r="M1" s="11">
        <v>44501</v>
      </c>
      <c r="N1" s="11">
        <v>44531</v>
      </c>
      <c r="O1" s="11">
        <v>44562</v>
      </c>
      <c r="P1" s="11">
        <v>44593</v>
      </c>
      <c r="Q1" s="11">
        <v>44621</v>
      </c>
      <c r="R1" s="11">
        <v>44652</v>
      </c>
      <c r="S1" s="11">
        <v>44682</v>
      </c>
      <c r="T1" s="11">
        <v>44713</v>
      </c>
      <c r="U1" s="10" t="s">
        <v>64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87" t="s">
        <v>39</v>
      </c>
      <c r="B2" s="87" t="s">
        <v>65</v>
      </c>
      <c r="C2" s="87" t="s">
        <v>25</v>
      </c>
      <c r="D2" s="87" t="s">
        <v>25</v>
      </c>
      <c r="E2" s="87" t="s">
        <v>25</v>
      </c>
      <c r="F2" s="87" t="s">
        <v>25</v>
      </c>
      <c r="G2" s="13" t="s">
        <v>67</v>
      </c>
      <c r="H2" s="13" t="s">
        <v>66</v>
      </c>
      <c r="I2" s="13">
        <f>SUMIF(Mercado_Receita!$T$2:$T$241,"44378A4Energia horáriaNão se aplicaNão se aplicaNão se aplicaNão se aplicaPonta",Mercado_Receita!$N$2:$N$241)</f>
        <v>1.4350000000000001</v>
      </c>
      <c r="J2" s="13">
        <f>SUMIF(Mercado_Receita!$T$2:$T$241,"44409A4Energia horáriaNão se aplicaNão se aplicaNão se aplicaNão se aplicaPonta",Mercado_Receita!$N$2:$N$241)</f>
        <v>2.7229999999999999</v>
      </c>
      <c r="K2" s="13">
        <f>SUMIF(Mercado_Receita!$T$2:$T$241,"44440A4Energia horáriaNão se aplicaNão se aplicaNão se aplicaNão se aplicaPonta",Mercado_Receita!$N$2:$N$241)</f>
        <v>4.6050000000000004</v>
      </c>
      <c r="L2" s="13">
        <f>SUMIF(Mercado_Receita!$T$2:$T$241,"44470A4Energia horáriaNão se aplicaNão se aplicaNão se aplicaNão se aplicaPonta",Mercado_Receita!$N$2:$N$241)</f>
        <v>1.73</v>
      </c>
      <c r="M2" s="13">
        <f>SUMIF(Mercado_Receita!$T$2:$T$241,"44501A4Energia horáriaNão se aplicaNão se aplicaNão se aplicaNão se aplicaPonta",Mercado_Receita!$N$2:$N$241)</f>
        <v>4.6050000000000004</v>
      </c>
      <c r="N2" s="13">
        <f>SUMIF(Mercado_Receita!$T$2:$T$241,"44531A4Energia horáriaNão se aplicaNão se aplicaNão se aplicaNão se aplicaPonta",Mercado_Receita!$N$2:$N$241)</f>
        <v>5.9510000000000005</v>
      </c>
      <c r="O2" s="13">
        <f>SUMIF(Mercado_Receita!$T$2:$T$241,"44562A4Energia horáriaNão se aplicaNão se aplicaNão se aplicaNão se aplicaPonta",Mercado_Receita!$N$2:$N$241)</f>
        <v>3.8929999999999998</v>
      </c>
      <c r="P2" s="13">
        <f>SUMIF(Mercado_Receita!$T$2:$T$241,"44593A4Energia horáriaNão se aplicaNão se aplicaNão se aplicaNão se aplicaPonta",Mercado_Receita!$N$2:$N$241)</f>
        <v>5.0969999999999995</v>
      </c>
      <c r="Q2" s="13">
        <f>SUMIF(Mercado_Receita!$T$2:$T$241,"44621A4Energia horáriaNão se aplicaNão se aplicaNão se aplicaNão se aplicaPonta",Mercado_Receita!$N$2:$N$241)</f>
        <v>13.59</v>
      </c>
      <c r="R2" s="13">
        <f>SUMIF(Mercado_Receita!$T$2:$T$241,"44652A4Energia horáriaNão se aplicaNão se aplicaNão se aplicaNão se aplicaPonta",Mercado_Receita!$N$2:$N$241)</f>
        <v>6.907</v>
      </c>
      <c r="S2" s="13">
        <f>SUMIF(Mercado_Receita!$T$2:$T$241,"44682A4Energia horáriaNão se aplicaNão se aplicaNão se aplicaNão se aplicaPonta",Mercado_Receita!$N$2:$N$241)</f>
        <v>4.9740000000000002</v>
      </c>
      <c r="T2" s="13">
        <f>SUMIF(Mercado_Receita!$T$2:$T$241,"44713A4Energia horáriaNão se aplicaNão se aplicaNão se aplicaNão se aplicaPonta",Mercado_Receita!$N$2:$N$241)</f>
        <v>5.3339999999999996</v>
      </c>
      <c r="U2" s="13">
        <f t="shared" ref="U2:U39" si="0">SUM(I2:T2)</f>
        <v>60.844000000000008</v>
      </c>
      <c r="V2" s="13"/>
      <c r="W2" s="13"/>
    </row>
    <row r="3" spans="1:30" ht="11.25" customHeight="1" x14ac:dyDescent="0.25">
      <c r="A3" s="88"/>
      <c r="B3" s="88"/>
      <c r="C3" s="88"/>
      <c r="D3" s="88"/>
      <c r="E3" s="88"/>
      <c r="F3" s="88"/>
      <c r="G3" s="13" t="s">
        <v>68</v>
      </c>
      <c r="H3" s="13" t="s">
        <v>66</v>
      </c>
      <c r="I3" s="13">
        <f>SUMIF(Mercado_Receita!$T$2:$T$241,"44378A4Energia horáriaNão se aplicaNão se aplicaNão se aplicaNão se aplicaFora ponta",Mercado_Receita!$N$2:$N$241)</f>
        <v>49.872999999999998</v>
      </c>
      <c r="J3" s="13">
        <f>SUMIF(Mercado_Receita!$T$2:$T$241,"44409A4Energia horáriaNão se aplicaNão se aplicaNão se aplicaNão se aplicaFora ponta",Mercado_Receita!$N$2:$N$241)</f>
        <v>59.265999999999998</v>
      </c>
      <c r="K3" s="13">
        <f>SUMIF(Mercado_Receita!$T$2:$T$241,"44440A4Energia horáriaNão se aplicaNão se aplicaNão se aplicaNão se aplicaFora ponta",Mercado_Receita!$N$2:$N$241)</f>
        <v>83.984999999999999</v>
      </c>
      <c r="L3" s="13">
        <f>SUMIF(Mercado_Receita!$T$2:$T$241,"44470A4Energia horáriaNão se aplicaNão se aplicaNão se aplicaNão se aplicaFora ponta",Mercado_Receita!$N$2:$N$241)</f>
        <v>26.998000000000001</v>
      </c>
      <c r="M3" s="13">
        <f>SUMIF(Mercado_Receita!$T$2:$T$241,"44501A4Energia horáriaNão se aplicaNão se aplicaNão se aplicaNão se aplicaFora ponta",Mercado_Receita!$N$2:$N$241)</f>
        <v>75.522999999999996</v>
      </c>
      <c r="N3" s="13">
        <f>SUMIF(Mercado_Receita!$T$2:$T$241,"44531A4Energia horáriaNão se aplicaNão se aplicaNão se aplicaNão se aplicaFora ponta",Mercado_Receita!$N$2:$N$241)</f>
        <v>67.004999999999995</v>
      </c>
      <c r="O3" s="13">
        <f>SUMIF(Mercado_Receita!$T$2:$T$241,"44562A4Energia horáriaNão se aplicaNão se aplicaNão se aplicaNão se aplicaFora ponta",Mercado_Receita!$N$2:$N$241)</f>
        <v>92.612000000000009</v>
      </c>
      <c r="P3" s="13">
        <f>SUMIF(Mercado_Receita!$T$2:$T$241,"44593A4Energia horáriaNão se aplicaNão se aplicaNão se aplicaNão se aplicaFora ponta",Mercado_Receita!$N$2:$N$241)</f>
        <v>140.953</v>
      </c>
      <c r="Q3" s="13">
        <f>SUMIF(Mercado_Receita!$T$2:$T$241,"44621A4Energia horáriaNão se aplicaNão se aplicaNão se aplicaNão se aplicaFora ponta",Mercado_Receita!$N$2:$N$241)</f>
        <v>194.63400000000001</v>
      </c>
      <c r="R3" s="13">
        <f>SUMIF(Mercado_Receita!$T$2:$T$241,"44652A4Energia horáriaNão se aplicaNão se aplicaNão se aplicaNão se aplicaFora ponta",Mercado_Receita!$N$2:$N$241)</f>
        <v>157.75300000000001</v>
      </c>
      <c r="S3" s="13">
        <f>SUMIF(Mercado_Receita!$T$2:$T$241,"44682A4Energia horáriaNão se aplicaNão se aplicaNão se aplicaNão se aplicaFora ponta",Mercado_Receita!$N$2:$N$241)</f>
        <v>155.26900000000001</v>
      </c>
      <c r="T3" s="13">
        <f>SUMIF(Mercado_Receita!$T$2:$T$241,"44713A4Energia horáriaNão se aplicaNão se aplicaNão se aplicaNão se aplicaFora ponta",Mercado_Receita!$N$2:$N$241)</f>
        <v>140.48000000000002</v>
      </c>
      <c r="U3" s="13">
        <f t="shared" si="0"/>
        <v>1244.3510000000001</v>
      </c>
      <c r="V3" s="13"/>
      <c r="W3" s="13"/>
    </row>
    <row r="4" spans="1:30" ht="11.25" customHeight="1" x14ac:dyDescent="0.25">
      <c r="A4" s="88"/>
      <c r="B4" s="12" t="s">
        <v>69</v>
      </c>
      <c r="C4" s="12" t="s">
        <v>25</v>
      </c>
      <c r="D4" s="12" t="s">
        <v>25</v>
      </c>
      <c r="E4" s="12" t="s">
        <v>25</v>
      </c>
      <c r="F4" s="12" t="s">
        <v>25</v>
      </c>
      <c r="G4" s="13" t="s">
        <v>70</v>
      </c>
      <c r="H4" s="13" t="s">
        <v>66</v>
      </c>
      <c r="I4" s="13">
        <f>SUMIF(Mercado_Receita!$T$2:$T$241,"44378A4Energia convencionalNão se aplicaNão se aplicaNão se aplicaNão se aplicaNão se aplica",Mercado_Receita!$N$2:$N$241)</f>
        <v>0</v>
      </c>
      <c r="J4" s="13">
        <f>SUMIF(Mercado_Receita!$T$2:$T$241,"44409A4Energia convencionalNão se aplicaNão se aplicaNão se aplicaNão se aplicaNão se aplica",Mercado_Receita!$N$2:$N$241)</f>
        <v>0</v>
      </c>
      <c r="K4" s="13">
        <f>SUMIF(Mercado_Receita!$T$2:$T$241,"44440A4Energia convencionalNão se aplicaNão se aplicaNão se aplicaNão se aplicaNão se aplica",Mercado_Receita!$N$2:$N$241)</f>
        <v>0</v>
      </c>
      <c r="L4" s="13">
        <f>SUMIF(Mercado_Receita!$T$2:$T$241,"44470A4Energia convencionalNão se aplicaNão se aplicaNão se aplicaNão se aplicaNão se aplica",Mercado_Receita!$N$2:$N$241)</f>
        <v>0</v>
      </c>
      <c r="M4" s="13">
        <f>SUMIF(Mercado_Receita!$T$2:$T$241,"44501A4Energia convencionalNão se aplicaNão se aplicaNão se aplicaNão se aplicaNão se aplica",Mercado_Receita!$N$2:$N$241)</f>
        <v>0</v>
      </c>
      <c r="N4" s="13">
        <f>SUMIF(Mercado_Receita!$T$2:$T$241,"44531A4Energia convencionalNão se aplicaNão se aplicaNão se aplicaNão se aplicaNão se aplica",Mercado_Receita!$N$2:$N$241)</f>
        <v>0</v>
      </c>
      <c r="O4" s="13">
        <f>SUMIF(Mercado_Receita!$T$2:$T$241,"44562A4Energia convencionalNão se aplicaNão se aplicaNão se aplicaNão se aplicaNão se aplica",Mercado_Receita!$N$2:$N$241)</f>
        <v>0</v>
      </c>
      <c r="P4" s="13">
        <f>SUMIF(Mercado_Receita!$T$2:$T$241,"44593A4Energia convencionalNão se aplicaNão se aplicaNão se aplicaNão se aplicaNão se aplica",Mercado_Receita!$N$2:$N$241)</f>
        <v>0</v>
      </c>
      <c r="Q4" s="13">
        <f>SUMIF(Mercado_Receita!$T$2:$T$241,"44621A4Energia convencionalNão se aplicaNão se aplicaNão se aplicaNão se aplicaNão se aplica",Mercado_Receita!$N$2:$N$241)</f>
        <v>0</v>
      </c>
      <c r="R4" s="13">
        <f>SUMIF(Mercado_Receita!$T$2:$T$241,"44652A4Energia convencionalNão se aplicaNão se aplicaNão se aplicaNão se aplicaNão se aplica",Mercado_Receita!$N$2:$N$241)</f>
        <v>0</v>
      </c>
      <c r="S4" s="13">
        <f>SUMIF(Mercado_Receita!$T$2:$T$241,"44682A4Energia convencionalNão se aplicaNão se aplicaNão se aplicaNão se aplicaNão se aplica",Mercado_Receita!$N$2:$N$241)</f>
        <v>0</v>
      </c>
      <c r="T4" s="13">
        <f>SUMIF(Mercado_Receita!$T$2:$T$241,"44713A4Energia convencionalNão se aplicaNão se aplicaNão se aplicaNão se aplicaNão se aplica",Mercado_Receita!$N$2:$N$241)</f>
        <v>0</v>
      </c>
      <c r="U4" s="13">
        <f t="shared" si="0"/>
        <v>0</v>
      </c>
      <c r="V4" s="13"/>
      <c r="W4" s="13"/>
    </row>
    <row r="5" spans="1:30" ht="11.25" customHeight="1" x14ac:dyDescent="0.25">
      <c r="A5" s="87" t="s">
        <v>22</v>
      </c>
      <c r="B5" s="87" t="s">
        <v>65</v>
      </c>
      <c r="C5" s="87" t="s">
        <v>24</v>
      </c>
      <c r="D5" s="87" t="s">
        <v>24</v>
      </c>
      <c r="E5" s="87" t="s">
        <v>25</v>
      </c>
      <c r="F5" s="87" t="s">
        <v>25</v>
      </c>
      <c r="G5" s="13" t="s">
        <v>67</v>
      </c>
      <c r="H5" s="13" t="s">
        <v>66</v>
      </c>
      <c r="I5" s="13">
        <f>SUMIF(Mercado_Receita!$T$2:$T$241,"44378B1Energia horáriaResidencialResidencialNão se aplicaNão se aplicaPonta",Mercado_Receita!$N$2:$N$241)</f>
        <v>2.1999999999999999E-2</v>
      </c>
      <c r="J5" s="13">
        <f>SUMIF(Mercado_Receita!$T$2:$T$241,"44409B1Energia horáriaResidencialResidencialNão se aplicaNão se aplicaPonta",Mercado_Receita!$N$2:$N$241)</f>
        <v>2.3E-2</v>
      </c>
      <c r="K5" s="13">
        <f>SUMIF(Mercado_Receita!$T$2:$T$241,"44440B1Energia horáriaResidencialResidencialNão se aplicaNão se aplicaPonta",Mercado_Receita!$N$2:$N$241)</f>
        <v>2.5999999999999999E-2</v>
      </c>
      <c r="L5" s="13">
        <f>SUMIF(Mercado_Receita!$T$2:$T$241,"44470B1Energia horáriaResidencialResidencialNão se aplicaNão se aplicaPonta",Mercado_Receita!$N$2:$N$241)</f>
        <v>2.4E-2</v>
      </c>
      <c r="M5" s="13">
        <f>SUMIF(Mercado_Receita!$T$2:$T$241,"44501B1Energia horáriaResidencialResidencialNão se aplicaNão se aplicaPonta",Mercado_Receita!$N$2:$N$241)</f>
        <v>2.1999999999999999E-2</v>
      </c>
      <c r="N5" s="13">
        <f>SUMIF(Mercado_Receita!$T$2:$T$241,"44531B1Energia horáriaResidencialResidencialNão se aplicaNão se aplicaPonta",Mercado_Receita!$N$2:$N$241)</f>
        <v>2.7E-2</v>
      </c>
      <c r="O5" s="13">
        <f>SUMIF(Mercado_Receita!$T$2:$T$241,"44562B1Energia horáriaResidencialResidencialNão se aplicaNão se aplicaPonta",Mercado_Receita!$N$2:$N$241)</f>
        <v>2.9000000000000001E-2</v>
      </c>
      <c r="P5" s="13">
        <f>SUMIF(Mercado_Receita!$T$2:$T$241,"44593B1Energia horáriaResidencialResidencialNão se aplicaNão se aplicaPonta",Mercado_Receita!$N$2:$N$241)</f>
        <v>2.9000000000000001E-2</v>
      </c>
      <c r="Q5" s="13">
        <f>SUMIF(Mercado_Receita!$T$2:$T$241,"44621B1Energia horáriaResidencialResidencialNão se aplicaNão se aplicaPonta",Mercado_Receita!$N$2:$N$241)</f>
        <v>2.4E-2</v>
      </c>
      <c r="R5" s="13">
        <f>SUMIF(Mercado_Receita!$T$2:$T$241,"44652B1Energia horáriaResidencialResidencialNão se aplicaNão se aplicaPonta",Mercado_Receita!$N$2:$N$241)</f>
        <v>0</v>
      </c>
      <c r="S5" s="13">
        <f>SUMIF(Mercado_Receita!$T$2:$T$241,"44682B1Energia horáriaResidencialResidencialNão se aplicaNão se aplicaPonta",Mercado_Receita!$N$2:$N$241)</f>
        <v>0</v>
      </c>
      <c r="T5" s="13">
        <f>SUMIF(Mercado_Receita!$T$2:$T$241,"44713B1Energia horáriaResidencialResidencialNão se aplicaNão se aplicaPonta",Mercado_Receita!$N$2:$N$241)</f>
        <v>0</v>
      </c>
      <c r="U5" s="13">
        <f t="shared" si="0"/>
        <v>0.22599999999999998</v>
      </c>
      <c r="V5" s="13"/>
      <c r="W5" s="13"/>
    </row>
    <row r="6" spans="1:30" ht="11.25" customHeight="1" x14ac:dyDescent="0.25">
      <c r="A6" s="88"/>
      <c r="B6" s="88"/>
      <c r="C6" s="88"/>
      <c r="D6" s="88"/>
      <c r="E6" s="88"/>
      <c r="F6" s="88"/>
      <c r="G6" s="13" t="s">
        <v>80</v>
      </c>
      <c r="H6" s="13" t="s">
        <v>66</v>
      </c>
      <c r="I6" s="13">
        <f>SUMIF(Mercado_Receita!$T$2:$T$241,"44378B1Energia horáriaResidencialResidencialNão se aplicaNão se aplicaIntermediário",Mercado_Receita!$N$2:$N$241)</f>
        <v>1.4999999999999999E-2</v>
      </c>
      <c r="J6" s="13">
        <f>SUMIF(Mercado_Receita!$T$2:$T$241,"44409B1Energia horáriaResidencialResidencialNão se aplicaNão se aplicaIntermediário",Mercado_Receita!$N$2:$N$241)</f>
        <v>1.6E-2</v>
      </c>
      <c r="K6" s="13">
        <f>SUMIF(Mercado_Receita!$T$2:$T$241,"44440B1Energia horáriaResidencialResidencialNão se aplicaNão se aplicaIntermediário",Mercado_Receita!$N$2:$N$241)</f>
        <v>1.6E-2</v>
      </c>
      <c r="L6" s="13">
        <f>SUMIF(Mercado_Receita!$T$2:$T$241,"44470B1Energia horáriaResidencialResidencialNão se aplicaNão se aplicaIntermediário",Mercado_Receita!$N$2:$N$241)</f>
        <v>1.7999999999999999E-2</v>
      </c>
      <c r="M6" s="13">
        <f>SUMIF(Mercado_Receita!$T$2:$T$241,"44501B1Energia horáriaResidencialResidencialNão se aplicaNão se aplicaIntermediário",Mercado_Receita!$N$2:$N$241)</f>
        <v>0.1</v>
      </c>
      <c r="N6" s="13">
        <f>SUMIF(Mercado_Receita!$T$2:$T$241,"44531B1Energia horáriaResidencialResidencialNão se aplicaNão se aplicaIntermediário",Mercado_Receita!$N$2:$N$241)</f>
        <v>7.4999999999999997E-2</v>
      </c>
      <c r="O6" s="13">
        <f>SUMIF(Mercado_Receita!$T$2:$T$241,"44562B1Energia horáriaResidencialResidencialNão se aplicaNão se aplicaIntermediário",Mercado_Receita!$N$2:$N$241)</f>
        <v>0.02</v>
      </c>
      <c r="P6" s="13">
        <f>SUMIF(Mercado_Receita!$T$2:$T$241,"44593B1Energia horáriaResidencialResidencialNão se aplicaNão se aplicaIntermediário",Mercado_Receita!$N$2:$N$241)</f>
        <v>0.02</v>
      </c>
      <c r="Q6" s="13">
        <f>SUMIF(Mercado_Receita!$T$2:$T$241,"44621B1Energia horáriaResidencialResidencialNão se aplicaNão se aplicaIntermediário",Mercado_Receita!$N$2:$N$241)</f>
        <v>1.4999999999999999E-2</v>
      </c>
      <c r="R6" s="13">
        <f>SUMIF(Mercado_Receita!$T$2:$T$241,"44652B1Energia horáriaResidencialResidencialNão se aplicaNão se aplicaIntermediário",Mercado_Receita!$N$2:$N$241)</f>
        <v>0</v>
      </c>
      <c r="S6" s="13">
        <f>SUMIF(Mercado_Receita!$T$2:$T$241,"44682B1Energia horáriaResidencialResidencialNão se aplicaNão se aplicaIntermediário",Mercado_Receita!$N$2:$N$241)</f>
        <v>0</v>
      </c>
      <c r="T6" s="13">
        <f>SUMIF(Mercado_Receita!$T$2:$T$241,"44713B1Energia horáriaResidencialResidencialNão se aplicaNão se aplicaIntermediário",Mercado_Receita!$N$2:$N$241)</f>
        <v>0</v>
      </c>
      <c r="U6" s="13">
        <f t="shared" si="0"/>
        <v>0.29500000000000004</v>
      </c>
      <c r="V6" s="13"/>
      <c r="W6" s="13"/>
    </row>
    <row r="7" spans="1:30" ht="11.25" customHeight="1" x14ac:dyDescent="0.25">
      <c r="A7" s="88"/>
      <c r="B7" s="88"/>
      <c r="C7" s="88"/>
      <c r="D7" s="88"/>
      <c r="E7" s="88"/>
      <c r="F7" s="88"/>
      <c r="G7" s="13" t="s">
        <v>68</v>
      </c>
      <c r="H7" s="13" t="s">
        <v>66</v>
      </c>
      <c r="I7" s="13">
        <f>SUMIF(Mercado_Receita!$T$2:$T$241,"44378B1Energia horáriaResidencialResidencialNão se aplicaNão se aplicaFora ponta",Mercado_Receita!$N$2:$N$241)</f>
        <v>0.20899999999999999</v>
      </c>
      <c r="J7" s="13">
        <f>SUMIF(Mercado_Receita!$T$2:$T$241,"44409B1Energia horáriaResidencialResidencialNão se aplicaNão se aplicaFora ponta",Mercado_Receita!$N$2:$N$241)</f>
        <v>0.20200000000000001</v>
      </c>
      <c r="K7" s="13">
        <f>SUMIF(Mercado_Receita!$T$2:$T$241,"44440B1Energia horáriaResidencialResidencialNão se aplicaNão se aplicaFora ponta",Mercado_Receita!$N$2:$N$241)</f>
        <v>0.23899999999999999</v>
      </c>
      <c r="L7" s="13">
        <f>SUMIF(Mercado_Receita!$T$2:$T$241,"44470B1Energia horáriaResidencialResidencialNão se aplicaNão se aplicaFora ponta",Mercado_Receita!$N$2:$N$241)</f>
        <v>0.247</v>
      </c>
      <c r="M7" s="13">
        <f>SUMIF(Mercado_Receita!$T$2:$T$241,"44501B1Energia horáriaResidencialResidencialNão se aplicaNão se aplicaFora ponta",Mercado_Receita!$N$2:$N$241)</f>
        <v>0.28100000000000003</v>
      </c>
      <c r="N7" s="13">
        <f>SUMIF(Mercado_Receita!$T$2:$T$241,"44531B1Energia horáriaResidencialResidencialNão se aplicaNão se aplicaFora ponta",Mercado_Receita!$N$2:$N$241)</f>
        <v>0.28499999999999998</v>
      </c>
      <c r="O7" s="13">
        <f>SUMIF(Mercado_Receita!$T$2:$T$241,"44562B1Energia horáriaResidencialResidencialNão se aplicaNão se aplicaFora ponta",Mercado_Receita!$N$2:$N$241)</f>
        <v>0.26400000000000001</v>
      </c>
      <c r="P7" s="13">
        <f>SUMIF(Mercado_Receita!$T$2:$T$241,"44593B1Energia horáriaResidencialResidencialNão se aplicaNão se aplicaFora ponta",Mercado_Receita!$N$2:$N$241)</f>
        <v>0.27400000000000002</v>
      </c>
      <c r="Q7" s="13">
        <f>SUMIF(Mercado_Receita!$T$2:$T$241,"44621B1Energia horáriaResidencialResidencialNão se aplicaNão se aplicaFora ponta",Mercado_Receita!$N$2:$N$241)</f>
        <v>0.21</v>
      </c>
      <c r="R7" s="13">
        <f>SUMIF(Mercado_Receita!$T$2:$T$241,"44652B1Energia horáriaResidencialResidencialNão se aplicaNão se aplicaFora ponta",Mercado_Receita!$N$2:$N$241)</f>
        <v>0</v>
      </c>
      <c r="S7" s="13">
        <f>SUMIF(Mercado_Receita!$T$2:$T$241,"44682B1Energia horáriaResidencialResidencialNão se aplicaNão se aplicaFora ponta",Mercado_Receita!$N$2:$N$241)</f>
        <v>0</v>
      </c>
      <c r="T7" s="13">
        <f>SUMIF(Mercado_Receita!$T$2:$T$241,"44713B1Energia horáriaResidencialResidencialNão se aplicaNão se aplicaFora ponta",Mercado_Receita!$N$2:$N$241)</f>
        <v>0</v>
      </c>
      <c r="U7" s="13">
        <f t="shared" si="0"/>
        <v>2.2109999999999999</v>
      </c>
      <c r="V7" s="13"/>
      <c r="W7" s="13"/>
    </row>
    <row r="8" spans="1:30" ht="11.25" customHeight="1" x14ac:dyDescent="0.25">
      <c r="A8" s="88"/>
      <c r="B8" s="87" t="s">
        <v>69</v>
      </c>
      <c r="C8" s="87" t="s">
        <v>24</v>
      </c>
      <c r="D8" s="12" t="s">
        <v>24</v>
      </c>
      <c r="E8" s="12" t="s">
        <v>25</v>
      </c>
      <c r="F8" s="12" t="s">
        <v>25</v>
      </c>
      <c r="G8" s="13" t="s">
        <v>70</v>
      </c>
      <c r="H8" s="13" t="s">
        <v>66</v>
      </c>
      <c r="I8" s="13">
        <f>SUMIF(Mercado_Receita!$T$2:$T$241,"44378B1Energia convencionalResidencialResidencialNão se aplicaNão se aplicaNão se aplica",Mercado_Receita!$N$2:$N$241)</f>
        <v>990.09299999999996</v>
      </c>
      <c r="J8" s="13">
        <f>SUMIF(Mercado_Receita!$T$2:$T$241,"44409B1Energia convencionalResidencialResidencialNão se aplicaNão se aplicaNão se aplica",Mercado_Receita!$N$2:$N$241)</f>
        <v>1059.653</v>
      </c>
      <c r="K8" s="13">
        <f>SUMIF(Mercado_Receita!$T$2:$T$241,"44440B1Energia convencionalResidencialResidencialNão se aplicaNão se aplicaNão se aplica",Mercado_Receita!$N$2:$N$241)</f>
        <v>1021.4470000000001</v>
      </c>
      <c r="L8" s="13">
        <f>SUMIF(Mercado_Receita!$T$2:$T$241,"44470B1Energia convencionalResidencialResidencialNão se aplicaNão se aplicaNão se aplica",Mercado_Receita!$N$2:$N$241)</f>
        <v>1047.953</v>
      </c>
      <c r="M8" s="13">
        <f>SUMIF(Mercado_Receita!$T$2:$T$241,"44501B1Energia convencionalResidencialResidencialNão se aplicaNão se aplicaNão se aplica",Mercado_Receita!$N$2:$N$241)</f>
        <v>1000.782</v>
      </c>
      <c r="N8" s="13">
        <f>SUMIF(Mercado_Receita!$T$2:$T$241,"44531B1Energia convencionalResidencialResidencialNão se aplicaNão se aplicaNão se aplica",Mercado_Receita!$N$2:$N$241)</f>
        <v>965.77099999999996</v>
      </c>
      <c r="O8" s="13">
        <f>SUMIF(Mercado_Receita!$T$2:$T$241,"44562B1Energia convencionalResidencialResidencialNão se aplicaNão se aplicaNão se aplica",Mercado_Receita!$N$2:$N$241)</f>
        <v>1096.271</v>
      </c>
      <c r="P8" s="13">
        <f>SUMIF(Mercado_Receita!$T$2:$T$241,"44593B1Energia convencionalResidencialResidencialNão se aplicaNão se aplicaNão se aplica",Mercado_Receita!$N$2:$N$241)</f>
        <v>991.28499999999997</v>
      </c>
      <c r="Q8" s="13">
        <f>SUMIF(Mercado_Receita!$T$2:$T$241,"44621B1Energia convencionalResidencialResidencialNão se aplicaNão se aplicaNão se aplica",Mercado_Receita!$N$2:$N$241)</f>
        <v>919.8069999999999</v>
      </c>
      <c r="R8" s="13">
        <f>SUMIF(Mercado_Receita!$T$2:$T$241,"44652B1Energia convencionalResidencialResidencialNão se aplicaNão se aplicaNão se aplica",Mercado_Receita!$N$2:$N$241)</f>
        <v>943.9910000000001</v>
      </c>
      <c r="S8" s="13">
        <f>SUMIF(Mercado_Receita!$T$2:$T$241,"44682B1Energia convencionalResidencialResidencialNão se aplicaNão se aplicaNão se aplica",Mercado_Receita!$N$2:$N$241)</f>
        <v>865.93299999999999</v>
      </c>
      <c r="T8" s="13">
        <f>SUMIF(Mercado_Receita!$T$2:$T$241,"44713B1Energia convencionalResidencialResidencialNão se aplicaNão se aplicaNão se aplica",Mercado_Receita!$N$2:$N$241)</f>
        <v>923.24800000000005</v>
      </c>
      <c r="U8" s="13">
        <f t="shared" si="0"/>
        <v>11826.234</v>
      </c>
      <c r="V8" s="13"/>
      <c r="W8" s="13"/>
    </row>
    <row r="9" spans="1:30" ht="11.25" customHeight="1" x14ac:dyDescent="0.25">
      <c r="A9" s="88"/>
      <c r="B9" s="88"/>
      <c r="C9" s="88"/>
      <c r="D9" s="12" t="s">
        <v>29</v>
      </c>
      <c r="E9" s="12" t="s">
        <v>25</v>
      </c>
      <c r="F9" s="12" t="s">
        <v>25</v>
      </c>
      <c r="G9" s="13" t="s">
        <v>70</v>
      </c>
      <c r="H9" s="13" t="s">
        <v>66</v>
      </c>
      <c r="I9" s="13">
        <f>SUMIF(Mercado_Receita!$T$2:$T$241,"44378B1Energia convencionalResidencialResidencial baixa renda – faixa 01Não se aplicaNão se aplicaNão se aplica",Mercado_Receita!$N$2:$N$241)</f>
        <v>3.75</v>
      </c>
      <c r="J9" s="13">
        <f>SUMIF(Mercado_Receita!$T$2:$T$241,"44409B1Energia convencionalResidencialResidencial baixa renda – faixa 01Não se aplicaNão se aplicaNão se aplica",Mercado_Receita!$N$2:$N$241)</f>
        <v>3.9</v>
      </c>
      <c r="K9" s="13">
        <f>SUMIF(Mercado_Receita!$T$2:$T$241,"44440B1Energia convencionalResidencialResidencial baixa renda – faixa 01Não se aplicaNão se aplicaNão se aplica",Mercado_Receita!$N$2:$N$241)</f>
        <v>3.78</v>
      </c>
      <c r="L9" s="13">
        <f>SUMIF(Mercado_Receita!$T$2:$T$241,"44470B1Energia convencionalResidencialResidencial baixa renda – faixa 01Não se aplicaNão se aplicaNão se aplica",Mercado_Receita!$N$2:$N$241)</f>
        <v>4.0199999999999996</v>
      </c>
      <c r="M9" s="13">
        <f>SUMIF(Mercado_Receita!$T$2:$T$241,"44501B1Energia convencionalResidencialResidencial baixa renda – faixa 01Não se aplicaNão se aplicaNão se aplica",Mercado_Receita!$N$2:$N$241)</f>
        <v>4.41</v>
      </c>
      <c r="N9" s="13">
        <f>SUMIF(Mercado_Receita!$T$2:$T$241,"44531B1Energia convencionalResidencialResidencial baixa renda – faixa 01Não se aplicaNão se aplicaNão se aplica",Mercado_Receita!$N$2:$N$241)</f>
        <v>4.53</v>
      </c>
      <c r="O9" s="13">
        <f>SUMIF(Mercado_Receita!$T$2:$T$241,"44562B1Energia convencionalResidencialResidencial baixa renda – faixa 01Não se aplicaNão se aplicaNão se aplica",Mercado_Receita!$N$2:$N$241)</f>
        <v>4.68</v>
      </c>
      <c r="P9" s="13">
        <f>SUMIF(Mercado_Receita!$T$2:$T$241,"44593B1Energia convencionalResidencialResidencial baixa renda – faixa 01Não se aplicaNão se aplicaNão se aplica",Mercado_Receita!$N$2:$N$241)</f>
        <v>6.87</v>
      </c>
      <c r="Q9" s="13">
        <f>SUMIF(Mercado_Receita!$T$2:$T$241,"44621B1Energia convencionalResidencialResidencial baixa renda – faixa 01Não se aplicaNão se aplicaNão se aplica",Mercado_Receita!$N$2:$N$241)</f>
        <v>13.53</v>
      </c>
      <c r="R9" s="13">
        <f>SUMIF(Mercado_Receita!$T$2:$T$241,"44652B1Energia convencionalResidencialResidencial baixa renda – faixa 01Não se aplicaNão se aplicaNão se aplica",Mercado_Receita!$N$2:$N$241)</f>
        <v>19.29</v>
      </c>
      <c r="S9" s="13">
        <f>SUMIF(Mercado_Receita!$T$2:$T$241,"44682B1Energia convencionalResidencialResidencial baixa renda – faixa 01Não se aplicaNão se aplicaNão se aplica",Mercado_Receita!$N$2:$N$241)</f>
        <v>20.91</v>
      </c>
      <c r="T9" s="13">
        <f>SUMIF(Mercado_Receita!$T$2:$T$241,"44713B1Energia convencionalResidencialResidencial baixa renda – faixa 01Não se aplicaNão se aplicaNão se aplica",Mercado_Receita!$N$2:$N$241)</f>
        <v>21.87</v>
      </c>
      <c r="U9" s="13">
        <f t="shared" si="0"/>
        <v>111.53999999999999</v>
      </c>
      <c r="V9" s="13"/>
      <c r="W9" s="13"/>
    </row>
    <row r="10" spans="1:30" ht="11.25" customHeight="1" x14ac:dyDescent="0.25">
      <c r="A10" s="88"/>
      <c r="B10" s="88"/>
      <c r="C10" s="88"/>
      <c r="D10" s="12" t="s">
        <v>30</v>
      </c>
      <c r="E10" s="12" t="s">
        <v>25</v>
      </c>
      <c r="F10" s="12" t="s">
        <v>25</v>
      </c>
      <c r="G10" s="13" t="s">
        <v>70</v>
      </c>
      <c r="H10" s="13" t="s">
        <v>66</v>
      </c>
      <c r="I10" s="13">
        <f>SUMIF(Mercado_Receita!$T$2:$T$241,"44378B1Energia convencionalResidencialResidencial baixa renda – faixa 02Não se aplicaNão se aplicaNão se aplica",Mercado_Receita!$N$2:$N$241)</f>
        <v>8.2100000000000009</v>
      </c>
      <c r="J10" s="13">
        <f>SUMIF(Mercado_Receita!$T$2:$T$241,"44409B1Energia convencionalResidencialResidencial baixa renda – faixa 02Não se aplicaNão se aplicaNão se aplica",Mercado_Receita!$N$2:$N$241)</f>
        <v>8.6159999999999997</v>
      </c>
      <c r="K10" s="13">
        <f>SUMIF(Mercado_Receita!$T$2:$T$241,"44440B1Energia convencionalResidencialResidencial baixa renda – faixa 02Não se aplicaNão se aplicaNão se aplica",Mercado_Receita!$N$2:$N$241)</f>
        <v>8.3450000000000006</v>
      </c>
      <c r="L10" s="13">
        <f>SUMIF(Mercado_Receita!$T$2:$T$241,"44470B1Energia convencionalResidencialResidencial baixa renda – faixa 02Não se aplicaNão se aplicaNão se aplica",Mercado_Receita!$N$2:$N$241)</f>
        <v>8.9440000000000008</v>
      </c>
      <c r="M10" s="13">
        <f>SUMIF(Mercado_Receita!$T$2:$T$241,"44501B1Energia convencionalResidencialResidencial baixa renda – faixa 02Não se aplicaNão se aplicaNão se aplica",Mercado_Receita!$N$2:$N$241)</f>
        <v>9.7840000000000007</v>
      </c>
      <c r="N10" s="13">
        <f>SUMIF(Mercado_Receita!$T$2:$T$241,"44531B1Energia convencionalResidencialResidencial baixa renda – faixa 02Não se aplicaNão se aplicaNão se aplica",Mercado_Receita!$N$2:$N$241)</f>
        <v>10.077999999999999</v>
      </c>
      <c r="O10" s="13">
        <f>SUMIF(Mercado_Receita!$T$2:$T$241,"44562B1Energia convencionalResidencialResidencial baixa renda – faixa 02Não se aplicaNão se aplicaNão se aplica",Mercado_Receita!$N$2:$N$241)</f>
        <v>10.484999999999999</v>
      </c>
      <c r="P10" s="13">
        <f>SUMIF(Mercado_Receita!$T$2:$T$241,"44593B1Energia convencionalResidencialResidencial baixa renda – faixa 02Não se aplicaNão se aplicaNão se aplica",Mercado_Receita!$N$2:$N$241)</f>
        <v>14.499000000000001</v>
      </c>
      <c r="Q10" s="13">
        <f>SUMIF(Mercado_Receita!$T$2:$T$241,"44621B1Energia convencionalResidencialResidencial baixa renda – faixa 02Não se aplicaNão se aplicaNão se aplica",Mercado_Receita!$N$2:$N$241)</f>
        <v>26.244</v>
      </c>
      <c r="R10" s="13">
        <f>SUMIF(Mercado_Receita!$T$2:$T$241,"44652B1Energia convencionalResidencialResidencial baixa renda – faixa 02Não se aplicaNão se aplicaNão se aplica",Mercado_Receita!$N$2:$N$241)</f>
        <v>36.750999999999998</v>
      </c>
      <c r="S10" s="13">
        <f>SUMIF(Mercado_Receita!$T$2:$T$241,"44682B1Energia convencionalResidencialResidencial baixa renda – faixa 02Não se aplicaNão se aplicaNão se aplica",Mercado_Receita!$N$2:$N$241)</f>
        <v>38.4</v>
      </c>
      <c r="T10" s="13">
        <f>SUMIF(Mercado_Receita!$T$2:$T$241,"44713B1Energia convencionalResidencialResidencial baixa renda – faixa 02Não se aplicaNão se aplicaNão se aplica",Mercado_Receita!$N$2:$N$241)</f>
        <v>40.319000000000003</v>
      </c>
      <c r="U10" s="13">
        <f t="shared" si="0"/>
        <v>220.67500000000001</v>
      </c>
      <c r="V10" s="13"/>
      <c r="W10" s="13"/>
    </row>
    <row r="11" spans="1:30" ht="11.25" customHeight="1" x14ac:dyDescent="0.25">
      <c r="A11" s="88"/>
      <c r="B11" s="88"/>
      <c r="C11" s="88"/>
      <c r="D11" s="12" t="s">
        <v>31</v>
      </c>
      <c r="E11" s="12" t="s">
        <v>25</v>
      </c>
      <c r="F11" s="12" t="s">
        <v>25</v>
      </c>
      <c r="G11" s="13" t="s">
        <v>70</v>
      </c>
      <c r="H11" s="13" t="s">
        <v>66</v>
      </c>
      <c r="I11" s="13">
        <f>SUMIF(Mercado_Receita!$T$2:$T$241,"44378B1Energia convencionalResidencialResidencial baixa renda – faixa 03Não se aplicaNão se aplicaNão se aplica",Mercado_Receita!$N$2:$N$241)</f>
        <v>8.4429999999999996</v>
      </c>
      <c r="J11" s="13">
        <f>SUMIF(Mercado_Receita!$T$2:$T$241,"44409B1Energia convencionalResidencialResidencial baixa renda – faixa 03Não se aplicaNão se aplicaNão se aplica",Mercado_Receita!$N$2:$N$241)</f>
        <v>9.3889999999999993</v>
      </c>
      <c r="K11" s="13">
        <f>SUMIF(Mercado_Receita!$T$2:$T$241,"44440B1Energia convencionalResidencialResidencial baixa renda – faixa 03Não se aplicaNão se aplicaNão se aplica",Mercado_Receita!$N$2:$N$241)</f>
        <v>8.8919999999999995</v>
      </c>
      <c r="L11" s="13">
        <f>SUMIF(Mercado_Receita!$T$2:$T$241,"44470B1Energia convencionalResidencialResidencial baixa renda – faixa 03Não se aplicaNão se aplicaNão se aplica",Mercado_Receita!$N$2:$N$241)</f>
        <v>10.034000000000001</v>
      </c>
      <c r="M11" s="13">
        <f>SUMIF(Mercado_Receita!$T$2:$T$241,"44501B1Energia convencionalResidencialResidencial baixa renda – faixa 03Não se aplicaNão se aplicaNão se aplica",Mercado_Receita!$N$2:$N$241)</f>
        <v>10.375999999999999</v>
      </c>
      <c r="N11" s="13">
        <f>SUMIF(Mercado_Receita!$T$2:$T$241,"44531B1Energia convencionalResidencialResidencial baixa renda – faixa 03Não se aplicaNão se aplicaNão se aplica",Mercado_Receita!$N$2:$N$241)</f>
        <v>9.7309999999999999</v>
      </c>
      <c r="O11" s="13">
        <f>SUMIF(Mercado_Receita!$T$2:$T$241,"44562B1Energia convencionalResidencialResidencial baixa renda – faixa 03Não se aplicaNão se aplicaNão se aplica",Mercado_Receita!$N$2:$N$241)</f>
        <v>11.621</v>
      </c>
      <c r="P11" s="13">
        <f>SUMIF(Mercado_Receita!$T$2:$T$241,"44593B1Energia convencionalResidencialResidencial baixa renda – faixa 03Não se aplicaNão se aplicaNão se aplica",Mercado_Receita!$N$2:$N$241)</f>
        <v>13.962</v>
      </c>
      <c r="Q11" s="13">
        <f>SUMIF(Mercado_Receita!$T$2:$T$241,"44621B1Energia convencionalResidencialResidencial baixa renda – faixa 03Não se aplicaNão se aplicaNão se aplica",Mercado_Receita!$N$2:$N$241)</f>
        <v>21.436</v>
      </c>
      <c r="R11" s="13">
        <f>SUMIF(Mercado_Receita!$T$2:$T$241,"44652B1Energia convencionalResidencialResidencial baixa renda – faixa 03Não se aplicaNão se aplicaNão se aplica",Mercado_Receita!$N$2:$N$241)</f>
        <v>33.137999999999998</v>
      </c>
      <c r="S11" s="13">
        <f>SUMIF(Mercado_Receita!$T$2:$T$241,"44682B1Energia convencionalResidencialResidencial baixa renda – faixa 03Não se aplicaNão se aplicaNão se aplica",Mercado_Receita!$N$2:$N$241)</f>
        <v>32.121000000000002</v>
      </c>
      <c r="T11" s="13">
        <f>SUMIF(Mercado_Receita!$T$2:$T$241,"44713B1Energia convencionalResidencialResidencial baixa renda – faixa 03Não se aplicaNão se aplicaNão se aplica",Mercado_Receita!$N$2:$N$241)</f>
        <v>36.084000000000003</v>
      </c>
      <c r="U11" s="13">
        <f t="shared" si="0"/>
        <v>205.22700000000003</v>
      </c>
      <c r="V11" s="13"/>
      <c r="W11" s="13"/>
    </row>
    <row r="12" spans="1:30" ht="11.25" customHeight="1" x14ac:dyDescent="0.25">
      <c r="A12" s="88"/>
      <c r="B12" s="88"/>
      <c r="C12" s="88"/>
      <c r="D12" s="12" t="s">
        <v>32</v>
      </c>
      <c r="E12" s="12" t="s">
        <v>25</v>
      </c>
      <c r="F12" s="12" t="s">
        <v>25</v>
      </c>
      <c r="G12" s="13" t="s">
        <v>70</v>
      </c>
      <c r="H12" s="13" t="s">
        <v>66</v>
      </c>
      <c r="I12" s="13">
        <f>SUMIF(Mercado_Receita!$T$2:$T$241,"44378B1Energia convencionalResidencialResidencial baixa renda – faixa 04Não se aplicaNão se aplicaNão se aplica",Mercado_Receita!$N$2:$N$241)</f>
        <v>2.835</v>
      </c>
      <c r="J12" s="13">
        <f>SUMIF(Mercado_Receita!$T$2:$T$241,"44409B1Energia convencionalResidencialResidencial baixa renda – faixa 04Não se aplicaNão se aplicaNão se aplica",Mercado_Receita!$N$2:$N$241)</f>
        <v>3.5529999999999999</v>
      </c>
      <c r="K12" s="13">
        <f>SUMIF(Mercado_Receita!$T$2:$T$241,"44440B1Energia convencionalResidencialResidencial baixa renda – faixa 04Não se aplicaNão se aplicaNão se aplica",Mercado_Receita!$N$2:$N$241)</f>
        <v>2.9350000000000001</v>
      </c>
      <c r="L12" s="13">
        <f>SUMIF(Mercado_Receita!$T$2:$T$241,"44470B1Energia convencionalResidencialResidencial baixa renda – faixa 04Não se aplicaNão se aplicaNão se aplica",Mercado_Receita!$N$2:$N$241)</f>
        <v>3.6389999999999998</v>
      </c>
      <c r="M12" s="13">
        <f>SUMIF(Mercado_Receita!$T$2:$T$241,"44501B1Energia convencionalResidencialResidencial baixa renda – faixa 04Não se aplicaNão se aplicaNão se aplica",Mercado_Receita!$N$2:$N$241)</f>
        <v>3.077</v>
      </c>
      <c r="N12" s="13">
        <f>SUMIF(Mercado_Receita!$T$2:$T$241,"44531B1Energia convencionalResidencialResidencial baixa renda – faixa 04Não se aplicaNão se aplicaNão se aplica",Mercado_Receita!$N$2:$N$241)</f>
        <v>2.1669999999999998</v>
      </c>
      <c r="O12" s="13">
        <f>SUMIF(Mercado_Receita!$T$2:$T$241,"44562B1Energia convencionalResidencialResidencial baixa renda – faixa 04Não se aplicaNão se aplicaNão se aplica",Mercado_Receita!$N$2:$N$241)</f>
        <v>3.65</v>
      </c>
      <c r="P12" s="13">
        <f>SUMIF(Mercado_Receita!$T$2:$T$241,"44593B1Energia convencionalResidencialResidencial baixa renda – faixa 04Não se aplicaNão se aplicaNão se aplica",Mercado_Receita!$N$2:$N$241)</f>
        <v>5.1289999999999996</v>
      </c>
      <c r="Q12" s="13">
        <f>SUMIF(Mercado_Receita!$T$2:$T$241,"44621B1Energia convencionalResidencialResidencial baixa renda – faixa 04Não se aplicaNão se aplicaNão se aplica",Mercado_Receita!$N$2:$N$241)</f>
        <v>7.258</v>
      </c>
      <c r="R12" s="13">
        <f>SUMIF(Mercado_Receita!$T$2:$T$241,"44652B1Energia convencionalResidencialResidencial baixa renda – faixa 04Não se aplicaNão se aplicaNão se aplica",Mercado_Receita!$N$2:$N$241)</f>
        <v>13.558</v>
      </c>
      <c r="S12" s="13">
        <f>SUMIF(Mercado_Receita!$T$2:$T$241,"44682B1Energia convencionalResidencialResidencial baixa renda – faixa 04Não se aplicaNão se aplicaNão se aplica",Mercado_Receita!$N$2:$N$241)</f>
        <v>12.082000000000001</v>
      </c>
      <c r="T12" s="13">
        <f>SUMIF(Mercado_Receita!$T$2:$T$241,"44713B1Energia convencionalResidencialResidencial baixa renda – faixa 04Não se aplicaNão se aplicaNão se aplica",Mercado_Receita!$N$2:$N$241)</f>
        <v>15.427</v>
      </c>
      <c r="U12" s="13">
        <f t="shared" si="0"/>
        <v>75.31</v>
      </c>
      <c r="V12" s="13"/>
      <c r="W12" s="13"/>
    </row>
    <row r="13" spans="1:30" ht="11.25" customHeight="1" x14ac:dyDescent="0.25">
      <c r="A13" s="88"/>
      <c r="B13" s="87" t="s">
        <v>81</v>
      </c>
      <c r="C13" s="87" t="s">
        <v>24</v>
      </c>
      <c r="D13" s="12" t="s">
        <v>24</v>
      </c>
      <c r="E13" s="12" t="s">
        <v>25</v>
      </c>
      <c r="F13" s="12" t="s">
        <v>25</v>
      </c>
      <c r="G13" s="13" t="s">
        <v>70</v>
      </c>
      <c r="H13" s="13" t="s">
        <v>66</v>
      </c>
      <c r="I13" s="13">
        <f>SUMIF(Mercado_Receita!$T$2:$T$241,"44378B1Energia convencional pré-pagamentoResidencialResidencialNão se aplicaNão se aplicaNão se aplica",Mercado_Receita!$N$2:$N$241)</f>
        <v>0</v>
      </c>
      <c r="J13" s="13">
        <f>SUMIF(Mercado_Receita!$T$2:$T$241,"44409B1Energia convencional pré-pagamentoResidencialResidencialNão se aplicaNão se aplicaNão se aplica",Mercado_Receita!$N$2:$N$241)</f>
        <v>0</v>
      </c>
      <c r="K13" s="13">
        <f>SUMIF(Mercado_Receita!$T$2:$T$241,"44440B1Energia convencional pré-pagamentoResidencialResidencialNão se aplicaNão se aplicaNão se aplica",Mercado_Receita!$N$2:$N$241)</f>
        <v>0</v>
      </c>
      <c r="L13" s="13">
        <f>SUMIF(Mercado_Receita!$T$2:$T$241,"44470B1Energia convencional pré-pagamentoResidencialResidencialNão se aplicaNão se aplicaNão se aplica",Mercado_Receita!$N$2:$N$241)</f>
        <v>0</v>
      </c>
      <c r="M13" s="13">
        <f>SUMIF(Mercado_Receita!$T$2:$T$241,"44501B1Energia convencional pré-pagamentoResidencialResidencialNão se aplicaNão se aplicaNão se aplica",Mercado_Receita!$N$2:$N$241)</f>
        <v>0</v>
      </c>
      <c r="N13" s="13">
        <f>SUMIF(Mercado_Receita!$T$2:$T$241,"44531B1Energia convencional pré-pagamentoResidencialResidencialNão se aplicaNão se aplicaNão se aplica",Mercado_Receita!$N$2:$N$241)</f>
        <v>0</v>
      </c>
      <c r="O13" s="13">
        <f>SUMIF(Mercado_Receita!$T$2:$T$241,"44562B1Energia convencional pré-pagamentoResidencialResidencialNão se aplicaNão se aplicaNão se aplica",Mercado_Receita!$N$2:$N$241)</f>
        <v>0</v>
      </c>
      <c r="P13" s="13">
        <f>SUMIF(Mercado_Receita!$T$2:$T$241,"44593B1Energia convencional pré-pagamentoResidencialResidencialNão se aplicaNão se aplicaNão se aplica",Mercado_Receita!$N$2:$N$241)</f>
        <v>0</v>
      </c>
      <c r="Q13" s="13">
        <f>SUMIF(Mercado_Receita!$T$2:$T$241,"44621B1Energia convencional pré-pagamentoResidencialResidencialNão se aplicaNão se aplicaNão se aplica",Mercado_Receita!$N$2:$N$241)</f>
        <v>0</v>
      </c>
      <c r="R13" s="13">
        <f>SUMIF(Mercado_Receita!$T$2:$T$241,"44652B1Energia convencional pré-pagamentoResidencialResidencialNão se aplicaNão se aplicaNão se aplica",Mercado_Receita!$N$2:$N$241)</f>
        <v>0</v>
      </c>
      <c r="S13" s="13">
        <f>SUMIF(Mercado_Receita!$T$2:$T$241,"44682B1Energia convencional pré-pagamentoResidencialResidencialNão se aplicaNão se aplicaNão se aplica",Mercado_Receita!$N$2:$N$241)</f>
        <v>0</v>
      </c>
      <c r="T13" s="13">
        <f>SUMIF(Mercado_Receita!$T$2:$T$241,"44713B1Energia convencional pré-pagamentoResidencialResidencialNão se aplicaNão se aplicaNão se aplica",Mercado_Receita!$N$2:$N$241)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88"/>
      <c r="B14" s="88"/>
      <c r="C14" s="88"/>
      <c r="D14" s="12" t="s">
        <v>29</v>
      </c>
      <c r="E14" s="12" t="s">
        <v>25</v>
      </c>
      <c r="F14" s="12" t="s">
        <v>25</v>
      </c>
      <c r="G14" s="13" t="s">
        <v>70</v>
      </c>
      <c r="H14" s="13" t="s">
        <v>66</v>
      </c>
      <c r="I14" s="13">
        <f>SUMIF(Mercado_Receita!$T$2:$T$241,"44378B1Energia convencional pré-pagamentoResidencialResidencial baixa renda – faixa 01Não se aplicaNão se aplicaNão se aplica",Mercado_Receita!$N$2:$N$241)</f>
        <v>0</v>
      </c>
      <c r="J14" s="13">
        <f>SUMIF(Mercado_Receita!$T$2:$T$241,"44409B1Energia convencional pré-pagamentoResidencialResidencial baixa renda – faixa 01Não se aplicaNão se aplicaNão se aplica",Mercado_Receita!$N$2:$N$241)</f>
        <v>0</v>
      </c>
      <c r="K14" s="13">
        <f>SUMIF(Mercado_Receita!$T$2:$T$241,"44440B1Energia convencional pré-pagamentoResidencialResidencial baixa renda – faixa 01Não se aplicaNão se aplicaNão se aplica",Mercado_Receita!$N$2:$N$241)</f>
        <v>0</v>
      </c>
      <c r="L14" s="13">
        <f>SUMIF(Mercado_Receita!$T$2:$T$241,"44470B1Energia convencional pré-pagamentoResidencialResidencial baixa renda – faixa 01Não se aplicaNão se aplicaNão se aplica",Mercado_Receita!$N$2:$N$241)</f>
        <v>0</v>
      </c>
      <c r="M14" s="13">
        <f>SUMIF(Mercado_Receita!$T$2:$T$241,"44501B1Energia convencional pré-pagamentoResidencialResidencial baixa renda – faixa 01Não se aplicaNão se aplicaNão se aplica",Mercado_Receita!$N$2:$N$241)</f>
        <v>0</v>
      </c>
      <c r="N14" s="13">
        <f>SUMIF(Mercado_Receita!$T$2:$T$241,"44531B1Energia convencional pré-pagamentoResidencialResidencial baixa renda – faixa 01Não se aplicaNão se aplicaNão se aplica",Mercado_Receita!$N$2:$N$241)</f>
        <v>0</v>
      </c>
      <c r="O14" s="13">
        <f>SUMIF(Mercado_Receita!$T$2:$T$241,"44562B1Energia convencional pré-pagamentoResidencialResidencial baixa renda – faixa 01Não se aplicaNão se aplicaNão se aplica",Mercado_Receita!$N$2:$N$241)</f>
        <v>0</v>
      </c>
      <c r="P14" s="13">
        <f>SUMIF(Mercado_Receita!$T$2:$T$241,"44593B1Energia convencional pré-pagamentoResidencialResidencial baixa renda – faixa 01Não se aplicaNão se aplicaNão se aplica",Mercado_Receita!$N$2:$N$241)</f>
        <v>0</v>
      </c>
      <c r="Q14" s="13">
        <f>SUMIF(Mercado_Receita!$T$2:$T$241,"44621B1Energia convencional pré-pagamentoResidencialResidencial baixa renda – faixa 01Não se aplicaNão se aplicaNão se aplica",Mercado_Receita!$N$2:$N$241)</f>
        <v>0</v>
      </c>
      <c r="R14" s="13">
        <f>SUMIF(Mercado_Receita!$T$2:$T$241,"44652B1Energia convencional pré-pagamentoResidencialResidencial baixa renda – faixa 01Não se aplicaNão se aplicaNão se aplica",Mercado_Receita!$N$2:$N$241)</f>
        <v>0</v>
      </c>
      <c r="S14" s="13">
        <f>SUMIF(Mercado_Receita!$T$2:$T$241,"44682B1Energia convencional pré-pagamentoResidencialResidencial baixa renda – faixa 01Não se aplicaNão se aplicaNão se aplica",Mercado_Receita!$N$2:$N$241)</f>
        <v>0</v>
      </c>
      <c r="T14" s="13">
        <f>SUMIF(Mercado_Receita!$T$2:$T$241,"44713B1Energia convencional pré-pagamentoResidencialResidencial baixa renda – faixa 01Não se aplicaNão se aplicaNão se aplica",Mercado_Receita!$N$2:$N$241)</f>
        <v>0</v>
      </c>
      <c r="U14" s="13">
        <f t="shared" si="0"/>
        <v>0</v>
      </c>
      <c r="V14" s="13"/>
      <c r="W14" s="13"/>
    </row>
    <row r="15" spans="1:30" ht="11.25" customHeight="1" x14ac:dyDescent="0.25">
      <c r="A15" s="88"/>
      <c r="B15" s="88"/>
      <c r="C15" s="88"/>
      <c r="D15" s="12" t="s">
        <v>30</v>
      </c>
      <c r="E15" s="12" t="s">
        <v>25</v>
      </c>
      <c r="F15" s="12" t="s">
        <v>25</v>
      </c>
      <c r="G15" s="13" t="s">
        <v>70</v>
      </c>
      <c r="H15" s="13" t="s">
        <v>66</v>
      </c>
      <c r="I15" s="13">
        <f>SUMIF(Mercado_Receita!$T$2:$T$241,"44378B1Energia convencional pré-pagamentoResidencialResidencial baixa renda – faixa 02Não se aplicaNão se aplicaNão se aplica",Mercado_Receita!$N$2:$N$241)</f>
        <v>0</v>
      </c>
      <c r="J15" s="13">
        <f>SUMIF(Mercado_Receita!$T$2:$T$241,"44409B1Energia convencional pré-pagamentoResidencialResidencial baixa renda – faixa 02Não se aplicaNão se aplicaNão se aplica",Mercado_Receita!$N$2:$N$241)</f>
        <v>0</v>
      </c>
      <c r="K15" s="13">
        <f>SUMIF(Mercado_Receita!$T$2:$T$241,"44440B1Energia convencional pré-pagamentoResidencialResidencial baixa renda – faixa 02Não se aplicaNão se aplicaNão se aplica",Mercado_Receita!$N$2:$N$241)</f>
        <v>0</v>
      </c>
      <c r="L15" s="13">
        <f>SUMIF(Mercado_Receita!$T$2:$T$241,"44470B1Energia convencional pré-pagamentoResidencialResidencial baixa renda – faixa 02Não se aplicaNão se aplicaNão se aplica",Mercado_Receita!$N$2:$N$241)</f>
        <v>0</v>
      </c>
      <c r="M15" s="13">
        <f>SUMIF(Mercado_Receita!$T$2:$T$241,"44501B1Energia convencional pré-pagamentoResidencialResidencial baixa renda – faixa 02Não se aplicaNão se aplicaNão se aplica",Mercado_Receita!$N$2:$N$241)</f>
        <v>0</v>
      </c>
      <c r="N15" s="13">
        <f>SUMIF(Mercado_Receita!$T$2:$T$241,"44531B1Energia convencional pré-pagamentoResidencialResidencial baixa renda – faixa 02Não se aplicaNão se aplicaNão se aplica",Mercado_Receita!$N$2:$N$241)</f>
        <v>0</v>
      </c>
      <c r="O15" s="13">
        <f>SUMIF(Mercado_Receita!$T$2:$T$241,"44562B1Energia convencional pré-pagamentoResidencialResidencial baixa renda – faixa 02Não se aplicaNão se aplicaNão se aplica",Mercado_Receita!$N$2:$N$241)</f>
        <v>0</v>
      </c>
      <c r="P15" s="13">
        <f>SUMIF(Mercado_Receita!$T$2:$T$241,"44593B1Energia convencional pré-pagamentoResidencialResidencial baixa renda – faixa 02Não se aplicaNão se aplicaNão se aplica",Mercado_Receita!$N$2:$N$241)</f>
        <v>0</v>
      </c>
      <c r="Q15" s="13">
        <f>SUMIF(Mercado_Receita!$T$2:$T$241,"44621B1Energia convencional pré-pagamentoResidencialResidencial baixa renda – faixa 02Não se aplicaNão se aplicaNão se aplica",Mercado_Receita!$N$2:$N$241)</f>
        <v>0</v>
      </c>
      <c r="R15" s="13">
        <f>SUMIF(Mercado_Receita!$T$2:$T$241,"44652B1Energia convencional pré-pagamentoResidencialResidencial baixa renda – faixa 02Não se aplicaNão se aplicaNão se aplica",Mercado_Receita!$N$2:$N$241)</f>
        <v>0</v>
      </c>
      <c r="S15" s="13">
        <f>SUMIF(Mercado_Receita!$T$2:$T$241,"44682B1Energia convencional pré-pagamentoResidencialResidencial baixa renda – faixa 02Não se aplicaNão se aplicaNão se aplica",Mercado_Receita!$N$2:$N$241)</f>
        <v>0</v>
      </c>
      <c r="T15" s="13">
        <f>SUMIF(Mercado_Receita!$T$2:$T$241,"44713B1Energia convencional pré-pagamentoResidencialResidencial baixa renda – faixa 02Não se aplicaNão se aplicaNão se aplica",Mercado_Receita!$N$2:$N$241)</f>
        <v>0</v>
      </c>
      <c r="U15" s="13">
        <f t="shared" si="0"/>
        <v>0</v>
      </c>
      <c r="V15" s="13"/>
      <c r="W15" s="13"/>
    </row>
    <row r="16" spans="1:30" ht="11.25" customHeight="1" x14ac:dyDescent="0.25">
      <c r="A16" s="88"/>
      <c r="B16" s="88"/>
      <c r="C16" s="88"/>
      <c r="D16" s="12" t="s">
        <v>31</v>
      </c>
      <c r="E16" s="12" t="s">
        <v>25</v>
      </c>
      <c r="F16" s="12" t="s">
        <v>25</v>
      </c>
      <c r="G16" s="13" t="s">
        <v>70</v>
      </c>
      <c r="H16" s="13" t="s">
        <v>66</v>
      </c>
      <c r="I16" s="13">
        <f>SUMIF(Mercado_Receita!$T$2:$T$241,"44378B1Energia convencional pré-pagamentoResidencialResidencial baixa renda – faixa 03Não se aplicaNão se aplicaNão se aplica",Mercado_Receita!$N$2:$N$241)</f>
        <v>0</v>
      </c>
      <c r="J16" s="13">
        <f>SUMIF(Mercado_Receita!$T$2:$T$241,"44409B1Energia convencional pré-pagamentoResidencialResidencial baixa renda – faixa 03Não se aplicaNão se aplicaNão se aplica",Mercado_Receita!$N$2:$N$241)</f>
        <v>0</v>
      </c>
      <c r="K16" s="13">
        <f>SUMIF(Mercado_Receita!$T$2:$T$241,"44440B1Energia convencional pré-pagamentoResidencialResidencial baixa renda – faixa 03Não se aplicaNão se aplicaNão se aplica",Mercado_Receita!$N$2:$N$241)</f>
        <v>0</v>
      </c>
      <c r="L16" s="13">
        <f>SUMIF(Mercado_Receita!$T$2:$T$241,"44470B1Energia convencional pré-pagamentoResidencialResidencial baixa renda – faixa 03Não se aplicaNão se aplicaNão se aplica",Mercado_Receita!$N$2:$N$241)</f>
        <v>0</v>
      </c>
      <c r="M16" s="13">
        <f>SUMIF(Mercado_Receita!$T$2:$T$241,"44501B1Energia convencional pré-pagamentoResidencialResidencial baixa renda – faixa 03Não se aplicaNão se aplicaNão se aplica",Mercado_Receita!$N$2:$N$241)</f>
        <v>0</v>
      </c>
      <c r="N16" s="13">
        <f>SUMIF(Mercado_Receita!$T$2:$T$241,"44531B1Energia convencional pré-pagamentoResidencialResidencial baixa renda – faixa 03Não se aplicaNão se aplicaNão se aplica",Mercado_Receita!$N$2:$N$241)</f>
        <v>0</v>
      </c>
      <c r="O16" s="13">
        <f>SUMIF(Mercado_Receita!$T$2:$T$241,"44562B1Energia convencional pré-pagamentoResidencialResidencial baixa renda – faixa 03Não se aplicaNão se aplicaNão se aplica",Mercado_Receita!$N$2:$N$241)</f>
        <v>0</v>
      </c>
      <c r="P16" s="13">
        <f>SUMIF(Mercado_Receita!$T$2:$T$241,"44593B1Energia convencional pré-pagamentoResidencialResidencial baixa renda – faixa 03Não se aplicaNão se aplicaNão se aplica",Mercado_Receita!$N$2:$N$241)</f>
        <v>0</v>
      </c>
      <c r="Q16" s="13">
        <f>SUMIF(Mercado_Receita!$T$2:$T$241,"44621B1Energia convencional pré-pagamentoResidencialResidencial baixa renda – faixa 03Não se aplicaNão se aplicaNão se aplica",Mercado_Receita!$N$2:$N$241)</f>
        <v>0</v>
      </c>
      <c r="R16" s="13">
        <f>SUMIF(Mercado_Receita!$T$2:$T$241,"44652B1Energia convencional pré-pagamentoResidencialResidencial baixa renda – faixa 03Não se aplicaNão se aplicaNão se aplica",Mercado_Receita!$N$2:$N$241)</f>
        <v>0</v>
      </c>
      <c r="S16" s="13">
        <f>SUMIF(Mercado_Receita!$T$2:$T$241,"44682B1Energia convencional pré-pagamentoResidencialResidencial baixa renda – faixa 03Não se aplicaNão se aplicaNão se aplica",Mercado_Receita!$N$2:$N$241)</f>
        <v>0</v>
      </c>
      <c r="T16" s="13">
        <f>SUMIF(Mercado_Receita!$T$2:$T$241,"44713B1Energia convencional pré-pagamentoResidencialResidencial baixa renda – faixa 03Não se aplicaNão se aplicaNão se aplica",Mercado_Receita!$N$2:$N$241)</f>
        <v>0</v>
      </c>
      <c r="U16" s="13">
        <f t="shared" si="0"/>
        <v>0</v>
      </c>
      <c r="V16" s="13"/>
      <c r="W16" s="13"/>
    </row>
    <row r="17" spans="1:23" ht="11.25" customHeight="1" x14ac:dyDescent="0.25">
      <c r="A17" s="88"/>
      <c r="B17" s="88"/>
      <c r="C17" s="88"/>
      <c r="D17" s="12" t="s">
        <v>32</v>
      </c>
      <c r="E17" s="12" t="s">
        <v>25</v>
      </c>
      <c r="F17" s="12" t="s">
        <v>25</v>
      </c>
      <c r="G17" s="13" t="s">
        <v>70</v>
      </c>
      <c r="H17" s="13" t="s">
        <v>66</v>
      </c>
      <c r="I17" s="13">
        <f>SUMIF(Mercado_Receita!$T$2:$T$241,"44378B1Energia convencional pré-pagamentoResidencialResidencial baixa renda – faixa 04Não se aplicaNão se aplicaNão se aplica",Mercado_Receita!$N$2:$N$241)</f>
        <v>0</v>
      </c>
      <c r="J17" s="13">
        <f>SUMIF(Mercado_Receita!$T$2:$T$241,"44409B1Energia convencional pré-pagamentoResidencialResidencial baixa renda – faixa 04Não se aplicaNão se aplicaNão se aplica",Mercado_Receita!$N$2:$N$241)</f>
        <v>0</v>
      </c>
      <c r="K17" s="13">
        <f>SUMIF(Mercado_Receita!$T$2:$T$241,"44440B1Energia convencional pré-pagamentoResidencialResidencial baixa renda – faixa 04Não se aplicaNão se aplicaNão se aplica",Mercado_Receita!$N$2:$N$241)</f>
        <v>0</v>
      </c>
      <c r="L17" s="13">
        <f>SUMIF(Mercado_Receita!$T$2:$T$241,"44470B1Energia convencional pré-pagamentoResidencialResidencial baixa renda – faixa 04Não se aplicaNão se aplicaNão se aplica",Mercado_Receita!$N$2:$N$241)</f>
        <v>0</v>
      </c>
      <c r="M17" s="13">
        <f>SUMIF(Mercado_Receita!$T$2:$T$241,"44501B1Energia convencional pré-pagamentoResidencialResidencial baixa renda – faixa 04Não se aplicaNão se aplicaNão se aplica",Mercado_Receita!$N$2:$N$241)</f>
        <v>0</v>
      </c>
      <c r="N17" s="13">
        <f>SUMIF(Mercado_Receita!$T$2:$T$241,"44531B1Energia convencional pré-pagamentoResidencialResidencial baixa renda – faixa 04Não se aplicaNão se aplicaNão se aplica",Mercado_Receita!$N$2:$N$241)</f>
        <v>0</v>
      </c>
      <c r="O17" s="13">
        <f>SUMIF(Mercado_Receita!$T$2:$T$241,"44562B1Energia convencional pré-pagamentoResidencialResidencial baixa renda – faixa 04Não se aplicaNão se aplicaNão se aplica",Mercado_Receita!$N$2:$N$241)</f>
        <v>0</v>
      </c>
      <c r="P17" s="13">
        <f>SUMIF(Mercado_Receita!$T$2:$T$241,"44593B1Energia convencional pré-pagamentoResidencialResidencial baixa renda – faixa 04Não se aplicaNão se aplicaNão se aplica",Mercado_Receita!$N$2:$N$241)</f>
        <v>0</v>
      </c>
      <c r="Q17" s="13">
        <f>SUMIF(Mercado_Receita!$T$2:$T$241,"44621B1Energia convencional pré-pagamentoResidencialResidencial baixa renda – faixa 04Não se aplicaNão se aplicaNão se aplica",Mercado_Receita!$N$2:$N$241)</f>
        <v>0</v>
      </c>
      <c r="R17" s="13">
        <f>SUMIF(Mercado_Receita!$T$2:$T$241,"44652B1Energia convencional pré-pagamentoResidencialResidencial baixa renda – faixa 04Não se aplicaNão se aplicaNão se aplica",Mercado_Receita!$N$2:$N$241)</f>
        <v>0</v>
      </c>
      <c r="S17" s="13">
        <f>SUMIF(Mercado_Receita!$T$2:$T$241,"44682B1Energia convencional pré-pagamentoResidencialResidencial baixa renda – faixa 04Não se aplicaNão se aplicaNão se aplica",Mercado_Receita!$N$2:$N$241)</f>
        <v>0</v>
      </c>
      <c r="T17" s="13">
        <f>SUMIF(Mercado_Receita!$T$2:$T$241,"44713B1Energia convencional pré-pagamentoResidencialResidencial baixa renda – faixa 04Não se aplicaNão se aplicaNão se aplica",Mercado_Receita!$N$2:$N$241)</f>
        <v>0</v>
      </c>
      <c r="U17" s="13">
        <f t="shared" si="0"/>
        <v>0</v>
      </c>
      <c r="V17" s="13"/>
      <c r="W17" s="13"/>
    </row>
    <row r="18" spans="1:23" ht="11.25" customHeight="1" x14ac:dyDescent="0.25">
      <c r="A18" s="87" t="s">
        <v>41</v>
      </c>
      <c r="B18" s="87" t="s">
        <v>65</v>
      </c>
      <c r="C18" s="87" t="s">
        <v>42</v>
      </c>
      <c r="D18" s="87" t="s">
        <v>25</v>
      </c>
      <c r="E18" s="87" t="s">
        <v>25</v>
      </c>
      <c r="F18" s="87" t="s">
        <v>25</v>
      </c>
      <c r="G18" s="13" t="s">
        <v>67</v>
      </c>
      <c r="H18" s="13" t="s">
        <v>66</v>
      </c>
      <c r="I18" s="13">
        <f>SUMIF(Mercado_Receita!$T$2:$T$241,"44378B2Energia horáriaRuralNão se aplicaNão se aplicaNão se aplicaPonta",Mercado_Receita!$N$2:$N$241)</f>
        <v>0</v>
      </c>
      <c r="J18" s="13">
        <f>SUMIF(Mercado_Receita!$T$2:$T$241,"44409B2Energia horáriaRuralNão se aplicaNão se aplicaNão se aplicaPonta",Mercado_Receita!$N$2:$N$241)</f>
        <v>0</v>
      </c>
      <c r="K18" s="13">
        <f>SUMIF(Mercado_Receita!$T$2:$T$241,"44440B2Energia horáriaRuralNão se aplicaNão se aplicaNão se aplicaPonta",Mercado_Receita!$N$2:$N$241)</f>
        <v>0</v>
      </c>
      <c r="L18" s="13">
        <f>SUMIF(Mercado_Receita!$T$2:$T$241,"44470B2Energia horáriaRuralNão se aplicaNão se aplicaNão se aplicaPonta",Mercado_Receita!$N$2:$N$241)</f>
        <v>0</v>
      </c>
      <c r="M18" s="13">
        <f>SUMIF(Mercado_Receita!$T$2:$T$241,"44501B2Energia horáriaRuralNão se aplicaNão se aplicaNão se aplicaPonta",Mercado_Receita!$N$2:$N$241)</f>
        <v>0</v>
      </c>
      <c r="N18" s="13">
        <f>SUMIF(Mercado_Receita!$T$2:$T$241,"44531B2Energia horáriaRuralNão se aplicaNão se aplicaNão se aplicaPonta",Mercado_Receita!$N$2:$N$241)</f>
        <v>0</v>
      </c>
      <c r="O18" s="13">
        <f>SUMIF(Mercado_Receita!$T$2:$T$241,"44562B2Energia horáriaRuralNão se aplicaNão se aplicaNão se aplicaPonta",Mercado_Receita!$N$2:$N$241)</f>
        <v>0</v>
      </c>
      <c r="P18" s="13">
        <f>SUMIF(Mercado_Receita!$T$2:$T$241,"44593B2Energia horáriaRuralNão se aplicaNão se aplicaNão se aplicaPonta",Mercado_Receita!$N$2:$N$241)</f>
        <v>0</v>
      </c>
      <c r="Q18" s="13">
        <f>SUMIF(Mercado_Receita!$T$2:$T$241,"44621B2Energia horáriaRuralNão se aplicaNão se aplicaNão se aplicaPonta",Mercado_Receita!$N$2:$N$241)</f>
        <v>0</v>
      </c>
      <c r="R18" s="13">
        <f>SUMIF(Mercado_Receita!$T$2:$T$241,"44652B2Energia horáriaRuralNão se aplicaNão se aplicaNão se aplicaPonta",Mercado_Receita!$N$2:$N$241)</f>
        <v>0</v>
      </c>
      <c r="S18" s="13">
        <f>SUMIF(Mercado_Receita!$T$2:$T$241,"44682B2Energia horáriaRuralNão se aplicaNão se aplicaNão se aplicaPonta",Mercado_Receita!$N$2:$N$241)</f>
        <v>0</v>
      </c>
      <c r="T18" s="13">
        <f>SUMIF(Mercado_Receita!$T$2:$T$241,"44713B2Energia horáriaRuralNão se aplicaNão se aplicaNão se aplicaPonta",Mercado_Receita!$N$2:$N$241)</f>
        <v>0</v>
      </c>
      <c r="U18" s="13">
        <f t="shared" si="0"/>
        <v>0</v>
      </c>
      <c r="V18" s="13"/>
      <c r="W18" s="13"/>
    </row>
    <row r="19" spans="1:23" ht="11.25" customHeight="1" x14ac:dyDescent="0.25">
      <c r="A19" s="88"/>
      <c r="B19" s="88"/>
      <c r="C19" s="88"/>
      <c r="D19" s="88"/>
      <c r="E19" s="88"/>
      <c r="F19" s="88"/>
      <c r="G19" s="13" t="s">
        <v>80</v>
      </c>
      <c r="H19" s="13" t="s">
        <v>66</v>
      </c>
      <c r="I19" s="13">
        <f>SUMIF(Mercado_Receita!$T$2:$T$241,"44378B2Energia horáriaRuralNão se aplicaNão se aplicaNão se aplicaIntermediário",Mercado_Receita!$N$2:$N$241)</f>
        <v>0</v>
      </c>
      <c r="J19" s="13">
        <f>SUMIF(Mercado_Receita!$T$2:$T$241,"44409B2Energia horáriaRuralNão se aplicaNão se aplicaNão se aplicaIntermediário",Mercado_Receita!$N$2:$N$241)</f>
        <v>0</v>
      </c>
      <c r="K19" s="13">
        <f>SUMIF(Mercado_Receita!$T$2:$T$241,"44440B2Energia horáriaRuralNão se aplicaNão se aplicaNão se aplicaIntermediário",Mercado_Receita!$N$2:$N$241)</f>
        <v>0</v>
      </c>
      <c r="L19" s="13">
        <f>SUMIF(Mercado_Receita!$T$2:$T$241,"44470B2Energia horáriaRuralNão se aplicaNão se aplicaNão se aplicaIntermediário",Mercado_Receita!$N$2:$N$241)</f>
        <v>0</v>
      </c>
      <c r="M19" s="13">
        <f>SUMIF(Mercado_Receita!$T$2:$T$241,"44501B2Energia horáriaRuralNão se aplicaNão se aplicaNão se aplicaIntermediário",Mercado_Receita!$N$2:$N$241)</f>
        <v>0</v>
      </c>
      <c r="N19" s="13">
        <f>SUMIF(Mercado_Receita!$T$2:$T$241,"44531B2Energia horáriaRuralNão se aplicaNão se aplicaNão se aplicaIntermediário",Mercado_Receita!$N$2:$N$241)</f>
        <v>0</v>
      </c>
      <c r="O19" s="13">
        <f>SUMIF(Mercado_Receita!$T$2:$T$241,"44562B2Energia horáriaRuralNão se aplicaNão se aplicaNão se aplicaIntermediário",Mercado_Receita!$N$2:$N$241)</f>
        <v>0</v>
      </c>
      <c r="P19" s="13">
        <f>SUMIF(Mercado_Receita!$T$2:$T$241,"44593B2Energia horáriaRuralNão se aplicaNão se aplicaNão se aplicaIntermediário",Mercado_Receita!$N$2:$N$241)</f>
        <v>0</v>
      </c>
      <c r="Q19" s="13">
        <f>SUMIF(Mercado_Receita!$T$2:$T$241,"44621B2Energia horáriaRuralNão se aplicaNão se aplicaNão se aplicaIntermediário",Mercado_Receita!$N$2:$N$241)</f>
        <v>0</v>
      </c>
      <c r="R19" s="13">
        <f>SUMIF(Mercado_Receita!$T$2:$T$241,"44652B2Energia horáriaRuralNão se aplicaNão se aplicaNão se aplicaIntermediário",Mercado_Receita!$N$2:$N$241)</f>
        <v>0</v>
      </c>
      <c r="S19" s="13">
        <f>SUMIF(Mercado_Receita!$T$2:$T$241,"44682B2Energia horáriaRuralNão se aplicaNão se aplicaNão se aplicaIntermediário",Mercado_Receita!$N$2:$N$241)</f>
        <v>0</v>
      </c>
      <c r="T19" s="13">
        <f>SUMIF(Mercado_Receita!$T$2:$T$241,"44713B2Energia horáriaRuralNão se aplicaNão se aplicaNão se aplicaIntermediário",Mercado_Receita!$N$2:$N$241)</f>
        <v>0</v>
      </c>
      <c r="U19" s="13">
        <f t="shared" si="0"/>
        <v>0</v>
      </c>
      <c r="V19" s="13"/>
      <c r="W19" s="13"/>
    </row>
    <row r="20" spans="1:23" ht="11.25" customHeight="1" x14ac:dyDescent="0.25">
      <c r="A20" s="88"/>
      <c r="B20" s="88"/>
      <c r="C20" s="88"/>
      <c r="D20" s="88"/>
      <c r="E20" s="88"/>
      <c r="F20" s="88"/>
      <c r="G20" s="13" t="s">
        <v>68</v>
      </c>
      <c r="H20" s="13" t="s">
        <v>66</v>
      </c>
      <c r="I20" s="13">
        <f>SUMIF(Mercado_Receita!$T$2:$T$241,"44378B2Energia horáriaRuralNão se aplicaNão se aplicaNão se aplicaFora ponta",Mercado_Receita!$N$2:$N$241)</f>
        <v>0</v>
      </c>
      <c r="J20" s="13">
        <f>SUMIF(Mercado_Receita!$T$2:$T$241,"44409B2Energia horáriaRuralNão se aplicaNão se aplicaNão se aplicaFora ponta",Mercado_Receita!$N$2:$N$241)</f>
        <v>0</v>
      </c>
      <c r="K20" s="13">
        <f>SUMIF(Mercado_Receita!$T$2:$T$241,"44440B2Energia horáriaRuralNão se aplicaNão se aplicaNão se aplicaFora ponta",Mercado_Receita!$N$2:$N$241)</f>
        <v>0</v>
      </c>
      <c r="L20" s="13">
        <f>SUMIF(Mercado_Receita!$T$2:$T$241,"44470B2Energia horáriaRuralNão se aplicaNão se aplicaNão se aplicaFora ponta",Mercado_Receita!$N$2:$N$241)</f>
        <v>0</v>
      </c>
      <c r="M20" s="13">
        <f>SUMIF(Mercado_Receita!$T$2:$T$241,"44501B2Energia horáriaRuralNão se aplicaNão se aplicaNão se aplicaFora ponta",Mercado_Receita!$N$2:$N$241)</f>
        <v>0</v>
      </c>
      <c r="N20" s="13">
        <f>SUMIF(Mercado_Receita!$T$2:$T$241,"44531B2Energia horáriaRuralNão se aplicaNão se aplicaNão se aplicaFora ponta",Mercado_Receita!$N$2:$N$241)</f>
        <v>0</v>
      </c>
      <c r="O20" s="13">
        <f>SUMIF(Mercado_Receita!$T$2:$T$241,"44562B2Energia horáriaRuralNão se aplicaNão se aplicaNão se aplicaFora ponta",Mercado_Receita!$N$2:$N$241)</f>
        <v>0</v>
      </c>
      <c r="P20" s="13">
        <f>SUMIF(Mercado_Receita!$T$2:$T$241,"44593B2Energia horáriaRuralNão se aplicaNão se aplicaNão se aplicaFora ponta",Mercado_Receita!$N$2:$N$241)</f>
        <v>0</v>
      </c>
      <c r="Q20" s="13">
        <f>SUMIF(Mercado_Receita!$T$2:$T$241,"44621B2Energia horáriaRuralNão se aplicaNão se aplicaNão se aplicaFora ponta",Mercado_Receita!$N$2:$N$241)</f>
        <v>0</v>
      </c>
      <c r="R20" s="13">
        <f>SUMIF(Mercado_Receita!$T$2:$T$241,"44652B2Energia horáriaRuralNão se aplicaNão se aplicaNão se aplicaFora ponta",Mercado_Receita!$N$2:$N$241)</f>
        <v>0</v>
      </c>
      <c r="S20" s="13">
        <f>SUMIF(Mercado_Receita!$T$2:$T$241,"44682B2Energia horáriaRuralNão se aplicaNão se aplicaNão se aplicaFora ponta",Mercado_Receita!$N$2:$N$241)</f>
        <v>0</v>
      </c>
      <c r="T20" s="13">
        <f>SUMIF(Mercado_Receita!$T$2:$T$241,"44713B2Energia horáriaRuralNão se aplicaNão se aplicaNão se aplicaFora ponta",Mercado_Receita!$N$2:$N$241)</f>
        <v>0</v>
      </c>
      <c r="U20" s="13">
        <f t="shared" si="0"/>
        <v>0</v>
      </c>
      <c r="V20" s="13"/>
      <c r="W20" s="13"/>
    </row>
    <row r="21" spans="1:23" ht="11.25" customHeight="1" x14ac:dyDescent="0.25">
      <c r="A21" s="88"/>
      <c r="B21" s="12" t="s">
        <v>69</v>
      </c>
      <c r="C21" s="12" t="s">
        <v>42</v>
      </c>
      <c r="D21" s="12" t="s">
        <v>25</v>
      </c>
      <c r="E21" s="12" t="s">
        <v>25</v>
      </c>
      <c r="F21" s="12" t="s">
        <v>25</v>
      </c>
      <c r="G21" s="13" t="s">
        <v>70</v>
      </c>
      <c r="H21" s="13" t="s">
        <v>66</v>
      </c>
      <c r="I21" s="13">
        <f>SUMIF(Mercado_Receita!$T$2:$T$241,"44378B2Energia convencionalRuralNão se aplicaNão se aplicaNão se aplicaNão se aplica",Mercado_Receita!$N$2:$N$241)</f>
        <v>54.207999999999998</v>
      </c>
      <c r="J21" s="13">
        <f>SUMIF(Mercado_Receita!$T$2:$T$241,"44409B2Energia convencionalRuralNão se aplicaNão se aplicaNão se aplicaNão se aplica",Mercado_Receita!$N$2:$N$241)</f>
        <v>59.506</v>
      </c>
      <c r="K21" s="13">
        <f>SUMIF(Mercado_Receita!$T$2:$T$241,"44440B2Energia convencionalRuralNão se aplicaNão se aplicaNão se aplicaNão se aplica",Mercado_Receita!$N$2:$N$241)</f>
        <v>56.250999999999998</v>
      </c>
      <c r="L21" s="13">
        <f>SUMIF(Mercado_Receita!$T$2:$T$241,"44470B2Energia convencionalRuralNão se aplicaNão se aplicaNão se aplicaNão se aplica",Mercado_Receita!$N$2:$N$241)</f>
        <v>56.595999999999997</v>
      </c>
      <c r="M21" s="13">
        <f>SUMIF(Mercado_Receita!$T$2:$T$241,"44501B2Energia convencionalRuralNão se aplicaNão se aplicaNão se aplicaNão se aplica",Mercado_Receita!$N$2:$N$241)</f>
        <v>53.649000000000001</v>
      </c>
      <c r="N21" s="13">
        <f>SUMIF(Mercado_Receita!$T$2:$T$241,"44531B2Energia convencionalRuralNão se aplicaNão se aplicaNão se aplicaNão se aplica",Mercado_Receita!$N$2:$N$241)</f>
        <v>56.908999999999999</v>
      </c>
      <c r="O21" s="13">
        <f>SUMIF(Mercado_Receita!$T$2:$T$241,"44562B2Energia convencionalRuralNão se aplicaNão se aplicaNão se aplicaNão se aplica",Mercado_Receita!$N$2:$N$241)</f>
        <v>59.033999999999999</v>
      </c>
      <c r="P21" s="13">
        <f>SUMIF(Mercado_Receita!$T$2:$T$241,"44593B2Energia convencionalRuralNão se aplicaNão se aplicaNão se aplicaNão se aplica",Mercado_Receita!$N$2:$N$241)</f>
        <v>61.715000000000003</v>
      </c>
      <c r="Q21" s="13">
        <f>SUMIF(Mercado_Receita!$T$2:$T$241,"44621B2Energia convencionalRuralNão se aplicaNão se aplicaNão se aplicaNão se aplica",Mercado_Receita!$N$2:$N$241)</f>
        <v>53.499000000000002</v>
      </c>
      <c r="R21" s="13">
        <f>SUMIF(Mercado_Receita!$T$2:$T$241,"44652B2Energia convencionalRuralNão se aplicaNão se aplicaNão se aplicaNão se aplica",Mercado_Receita!$N$2:$N$241)</f>
        <v>53.904000000000003</v>
      </c>
      <c r="S21" s="13">
        <f>SUMIF(Mercado_Receita!$T$2:$T$241,"44682B2Energia convencionalRuralNão se aplicaNão se aplicaNão se aplicaNão se aplica",Mercado_Receita!$N$2:$N$241)</f>
        <v>54.615000000000002</v>
      </c>
      <c r="T21" s="13">
        <f>SUMIF(Mercado_Receita!$T$2:$T$241,"44713B2Energia convencionalRuralNão se aplicaNão se aplicaNão se aplicaNão se aplica",Mercado_Receita!$N$2:$N$241)</f>
        <v>54.838000000000001</v>
      </c>
      <c r="U21" s="13">
        <f t="shared" si="0"/>
        <v>674.72400000000005</v>
      </c>
      <c r="V21" s="13"/>
      <c r="W21" s="13"/>
    </row>
    <row r="22" spans="1:23" ht="11.25" customHeight="1" x14ac:dyDescent="0.25">
      <c r="A22" s="88"/>
      <c r="B22" s="87" t="s">
        <v>65</v>
      </c>
      <c r="C22" s="87" t="s">
        <v>42</v>
      </c>
      <c r="D22" s="87" t="s">
        <v>83</v>
      </c>
      <c r="E22" s="87" t="s">
        <v>25</v>
      </c>
      <c r="F22" s="87" t="s">
        <v>25</v>
      </c>
      <c r="G22" s="13" t="s">
        <v>67</v>
      </c>
      <c r="H22" s="13" t="s">
        <v>66</v>
      </c>
      <c r="I22" s="13">
        <f>SUMIF(Mercado_Receita!$T$2:$T$241,"44378B2Energia horáriaRuralCooperativa de eletrificação ruralNão se aplicaNão se aplicaPonta",Mercado_Receita!$N$2:$N$241)</f>
        <v>0</v>
      </c>
      <c r="J22" s="13">
        <f>SUMIF(Mercado_Receita!$T$2:$T$241,"44409B2Energia horáriaRuralCooperativa de eletrificação ruralNão se aplicaNão se aplicaPonta",Mercado_Receita!$N$2:$N$241)</f>
        <v>0</v>
      </c>
      <c r="K22" s="13">
        <f>SUMIF(Mercado_Receita!$T$2:$T$241,"44440B2Energia horáriaRuralCooperativa de eletrificação ruralNão se aplicaNão se aplicaPonta",Mercado_Receita!$N$2:$N$241)</f>
        <v>0</v>
      </c>
      <c r="L22" s="13">
        <f>SUMIF(Mercado_Receita!$T$2:$T$241,"44470B2Energia horáriaRuralCooperativa de eletrificação ruralNão se aplicaNão se aplicaPonta",Mercado_Receita!$N$2:$N$241)</f>
        <v>0</v>
      </c>
      <c r="M22" s="13">
        <f>SUMIF(Mercado_Receita!$T$2:$T$241,"44501B2Energia horáriaRuralCooperativa de eletrificação ruralNão se aplicaNão se aplicaPonta",Mercado_Receita!$N$2:$N$241)</f>
        <v>0</v>
      </c>
      <c r="N22" s="13">
        <f>SUMIF(Mercado_Receita!$T$2:$T$241,"44531B2Energia horáriaRuralCooperativa de eletrificação ruralNão se aplicaNão se aplicaPonta",Mercado_Receita!$N$2:$N$241)</f>
        <v>0</v>
      </c>
      <c r="O22" s="13">
        <f>SUMIF(Mercado_Receita!$T$2:$T$241,"44562B2Energia horáriaRuralCooperativa de eletrificação ruralNão se aplicaNão se aplicaPonta",Mercado_Receita!$N$2:$N$241)</f>
        <v>0</v>
      </c>
      <c r="P22" s="13">
        <f>SUMIF(Mercado_Receita!$T$2:$T$241,"44593B2Energia horáriaRuralCooperativa de eletrificação ruralNão se aplicaNão se aplicaPonta",Mercado_Receita!$N$2:$N$241)</f>
        <v>0</v>
      </c>
      <c r="Q22" s="13">
        <f>SUMIF(Mercado_Receita!$T$2:$T$241,"44621B2Energia horáriaRuralCooperativa de eletrificação ruralNão se aplicaNão se aplicaPonta",Mercado_Receita!$N$2:$N$241)</f>
        <v>0</v>
      </c>
      <c r="R22" s="13">
        <f>SUMIF(Mercado_Receita!$T$2:$T$241,"44652B2Energia horáriaRuralCooperativa de eletrificação ruralNão se aplicaNão se aplicaPonta",Mercado_Receita!$N$2:$N$241)</f>
        <v>0</v>
      </c>
      <c r="S22" s="13">
        <f>SUMIF(Mercado_Receita!$T$2:$T$241,"44682B2Energia horáriaRuralCooperativa de eletrificação ruralNão se aplicaNão se aplicaPonta",Mercado_Receita!$N$2:$N$241)</f>
        <v>0</v>
      </c>
      <c r="T22" s="13">
        <f>SUMIF(Mercado_Receita!$T$2:$T$241,"44713B2Energia horáriaRuralCooperativa de eletrificação ruralNão se aplicaNão se aplicaPonta",Mercado_Receita!$N$2:$N$241)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88"/>
      <c r="B23" s="88"/>
      <c r="C23" s="88"/>
      <c r="D23" s="88"/>
      <c r="E23" s="88"/>
      <c r="F23" s="88"/>
      <c r="G23" s="13" t="s">
        <v>80</v>
      </c>
      <c r="H23" s="13" t="s">
        <v>66</v>
      </c>
      <c r="I23" s="13">
        <f>SUMIF(Mercado_Receita!$T$2:$T$241,"44378B2Energia horáriaRuralCooperativa de eletrificação ruralNão se aplicaNão se aplicaIntermediário",Mercado_Receita!$N$2:$N$241)</f>
        <v>0</v>
      </c>
      <c r="J23" s="13">
        <f>SUMIF(Mercado_Receita!$T$2:$T$241,"44409B2Energia horáriaRuralCooperativa de eletrificação ruralNão se aplicaNão se aplicaIntermediário",Mercado_Receita!$N$2:$N$241)</f>
        <v>0</v>
      </c>
      <c r="K23" s="13">
        <f>SUMIF(Mercado_Receita!$T$2:$T$241,"44440B2Energia horáriaRuralCooperativa de eletrificação ruralNão se aplicaNão se aplicaIntermediário",Mercado_Receita!$N$2:$N$241)</f>
        <v>0</v>
      </c>
      <c r="L23" s="13">
        <f>SUMIF(Mercado_Receita!$T$2:$T$241,"44470B2Energia horáriaRuralCooperativa de eletrificação ruralNão se aplicaNão se aplicaIntermediário",Mercado_Receita!$N$2:$N$241)</f>
        <v>0</v>
      </c>
      <c r="M23" s="13">
        <f>SUMIF(Mercado_Receita!$T$2:$T$241,"44501B2Energia horáriaRuralCooperativa de eletrificação ruralNão se aplicaNão se aplicaIntermediário",Mercado_Receita!$N$2:$N$241)</f>
        <v>0</v>
      </c>
      <c r="N23" s="13">
        <f>SUMIF(Mercado_Receita!$T$2:$T$241,"44531B2Energia horáriaRuralCooperativa de eletrificação ruralNão se aplicaNão se aplicaIntermediário",Mercado_Receita!$N$2:$N$241)</f>
        <v>0</v>
      </c>
      <c r="O23" s="13">
        <f>SUMIF(Mercado_Receita!$T$2:$T$241,"44562B2Energia horáriaRuralCooperativa de eletrificação ruralNão se aplicaNão se aplicaIntermediário",Mercado_Receita!$N$2:$N$241)</f>
        <v>0</v>
      </c>
      <c r="P23" s="13">
        <f>SUMIF(Mercado_Receita!$T$2:$T$241,"44593B2Energia horáriaRuralCooperativa de eletrificação ruralNão se aplicaNão se aplicaIntermediário",Mercado_Receita!$N$2:$N$241)</f>
        <v>0</v>
      </c>
      <c r="Q23" s="13">
        <f>SUMIF(Mercado_Receita!$T$2:$T$241,"44621B2Energia horáriaRuralCooperativa de eletrificação ruralNão se aplicaNão se aplicaIntermediário",Mercado_Receita!$N$2:$N$241)</f>
        <v>0</v>
      </c>
      <c r="R23" s="13">
        <f>SUMIF(Mercado_Receita!$T$2:$T$241,"44652B2Energia horáriaRuralCooperativa de eletrificação ruralNão se aplicaNão se aplicaIntermediário",Mercado_Receita!$N$2:$N$241)</f>
        <v>0</v>
      </c>
      <c r="S23" s="13">
        <f>SUMIF(Mercado_Receita!$T$2:$T$241,"44682B2Energia horáriaRuralCooperativa de eletrificação ruralNão se aplicaNão se aplicaIntermediário",Mercado_Receita!$N$2:$N$241)</f>
        <v>0</v>
      </c>
      <c r="T23" s="13">
        <f>SUMIF(Mercado_Receita!$T$2:$T$241,"44713B2Energia horáriaRuralCooperativa de eletrificação ruralNão se aplicaNão se aplicaIntermediário",Mercado_Receita!$N$2:$N$241)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88"/>
      <c r="B24" s="88"/>
      <c r="C24" s="88"/>
      <c r="D24" s="88"/>
      <c r="E24" s="88"/>
      <c r="F24" s="88"/>
      <c r="G24" s="13" t="s">
        <v>68</v>
      </c>
      <c r="H24" s="13" t="s">
        <v>66</v>
      </c>
      <c r="I24" s="13">
        <f>SUMIF(Mercado_Receita!$T$2:$T$241,"44378B2Energia horáriaRuralCooperativa de eletrificação ruralNão se aplicaNão se aplicaFora ponta",Mercado_Receita!$N$2:$N$241)</f>
        <v>0</v>
      </c>
      <c r="J24" s="13">
        <f>SUMIF(Mercado_Receita!$T$2:$T$241,"44409B2Energia horáriaRuralCooperativa de eletrificação ruralNão se aplicaNão se aplicaFora ponta",Mercado_Receita!$N$2:$N$241)</f>
        <v>0</v>
      </c>
      <c r="K24" s="13">
        <f>SUMIF(Mercado_Receita!$T$2:$T$241,"44440B2Energia horáriaRuralCooperativa de eletrificação ruralNão se aplicaNão se aplicaFora ponta",Mercado_Receita!$N$2:$N$241)</f>
        <v>0</v>
      </c>
      <c r="L24" s="13">
        <f>SUMIF(Mercado_Receita!$T$2:$T$241,"44470B2Energia horáriaRuralCooperativa de eletrificação ruralNão se aplicaNão se aplicaFora ponta",Mercado_Receita!$N$2:$N$241)</f>
        <v>0</v>
      </c>
      <c r="M24" s="13">
        <f>SUMIF(Mercado_Receita!$T$2:$T$241,"44501B2Energia horáriaRuralCooperativa de eletrificação ruralNão se aplicaNão se aplicaFora ponta",Mercado_Receita!$N$2:$N$241)</f>
        <v>0</v>
      </c>
      <c r="N24" s="13">
        <f>SUMIF(Mercado_Receita!$T$2:$T$241,"44531B2Energia horáriaRuralCooperativa de eletrificação ruralNão se aplicaNão se aplicaFora ponta",Mercado_Receita!$N$2:$N$241)</f>
        <v>0</v>
      </c>
      <c r="O24" s="13">
        <f>SUMIF(Mercado_Receita!$T$2:$T$241,"44562B2Energia horáriaRuralCooperativa de eletrificação ruralNão se aplicaNão se aplicaFora ponta",Mercado_Receita!$N$2:$N$241)</f>
        <v>0</v>
      </c>
      <c r="P24" s="13">
        <f>SUMIF(Mercado_Receita!$T$2:$T$241,"44593B2Energia horáriaRuralCooperativa de eletrificação ruralNão se aplicaNão se aplicaFora ponta",Mercado_Receita!$N$2:$N$241)</f>
        <v>0</v>
      </c>
      <c r="Q24" s="13">
        <f>SUMIF(Mercado_Receita!$T$2:$T$241,"44621B2Energia horáriaRuralCooperativa de eletrificação ruralNão se aplicaNão se aplicaFora ponta",Mercado_Receita!$N$2:$N$241)</f>
        <v>0</v>
      </c>
      <c r="R24" s="13">
        <f>SUMIF(Mercado_Receita!$T$2:$T$241,"44652B2Energia horáriaRuralCooperativa de eletrificação ruralNão se aplicaNão se aplicaFora ponta",Mercado_Receita!$N$2:$N$241)</f>
        <v>0</v>
      </c>
      <c r="S24" s="13">
        <f>SUMIF(Mercado_Receita!$T$2:$T$241,"44682B2Energia horáriaRuralCooperativa de eletrificação ruralNão se aplicaNão se aplicaFora ponta",Mercado_Receita!$N$2:$N$241)</f>
        <v>0</v>
      </c>
      <c r="T24" s="13">
        <f>SUMIF(Mercado_Receita!$T$2:$T$241,"44713B2Energia horáriaRuralCooperativa de eletrificação ruralNão se aplicaNão se aplicaFora ponta",Mercado_Receita!$N$2:$N$241)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88"/>
      <c r="B25" s="12" t="s">
        <v>69</v>
      </c>
      <c r="C25" s="12" t="s">
        <v>42</v>
      </c>
      <c r="D25" s="12" t="s">
        <v>83</v>
      </c>
      <c r="E25" s="12" t="s">
        <v>25</v>
      </c>
      <c r="F25" s="12" t="s">
        <v>25</v>
      </c>
      <c r="G25" s="13" t="s">
        <v>70</v>
      </c>
      <c r="H25" s="13" t="s">
        <v>66</v>
      </c>
      <c r="I25" s="13">
        <f>SUMIF(Mercado_Receita!$T$2:$T$241,"44378B2Energia convencionalRuralCooperativa de eletrificação ruralNão se aplicaNão se aplicaNão se aplica",Mercado_Receita!$N$2:$N$241)</f>
        <v>0</v>
      </c>
      <c r="J25" s="13">
        <f>SUMIF(Mercado_Receita!$T$2:$T$241,"44409B2Energia convencionalRuralCooperativa de eletrificação ruralNão se aplicaNão se aplicaNão se aplica",Mercado_Receita!$N$2:$N$241)</f>
        <v>0</v>
      </c>
      <c r="K25" s="13">
        <f>SUMIF(Mercado_Receita!$T$2:$T$241,"44440B2Energia convencionalRuralCooperativa de eletrificação ruralNão se aplicaNão se aplicaNão se aplica",Mercado_Receita!$N$2:$N$241)</f>
        <v>0</v>
      </c>
      <c r="L25" s="13">
        <f>SUMIF(Mercado_Receita!$T$2:$T$241,"44470B2Energia convencionalRuralCooperativa de eletrificação ruralNão se aplicaNão se aplicaNão se aplica",Mercado_Receita!$N$2:$N$241)</f>
        <v>0</v>
      </c>
      <c r="M25" s="13">
        <f>SUMIF(Mercado_Receita!$T$2:$T$241,"44501B2Energia convencionalRuralCooperativa de eletrificação ruralNão se aplicaNão se aplicaNão se aplica",Mercado_Receita!$N$2:$N$241)</f>
        <v>0</v>
      </c>
      <c r="N25" s="13">
        <f>SUMIF(Mercado_Receita!$T$2:$T$241,"44531B2Energia convencionalRuralCooperativa de eletrificação ruralNão se aplicaNão se aplicaNão se aplica",Mercado_Receita!$N$2:$N$241)</f>
        <v>0</v>
      </c>
      <c r="O25" s="13">
        <f>SUMIF(Mercado_Receita!$T$2:$T$241,"44562B2Energia convencionalRuralCooperativa de eletrificação ruralNão se aplicaNão se aplicaNão se aplica",Mercado_Receita!$N$2:$N$241)</f>
        <v>0</v>
      </c>
      <c r="P25" s="13">
        <f>SUMIF(Mercado_Receita!$T$2:$T$241,"44593B2Energia convencionalRuralCooperativa de eletrificação ruralNão se aplicaNão se aplicaNão se aplica",Mercado_Receita!$N$2:$N$241)</f>
        <v>0</v>
      </c>
      <c r="Q25" s="13">
        <f>SUMIF(Mercado_Receita!$T$2:$T$241,"44621B2Energia convencionalRuralCooperativa de eletrificação ruralNão se aplicaNão se aplicaNão se aplica",Mercado_Receita!$N$2:$N$241)</f>
        <v>0</v>
      </c>
      <c r="R25" s="13">
        <f>SUMIF(Mercado_Receita!$T$2:$T$241,"44652B2Energia convencionalRuralCooperativa de eletrificação ruralNão se aplicaNão se aplicaNão se aplica",Mercado_Receita!$N$2:$N$241)</f>
        <v>0</v>
      </c>
      <c r="S25" s="13">
        <f>SUMIF(Mercado_Receita!$T$2:$T$241,"44682B2Energia convencionalRuralCooperativa de eletrificação ruralNão se aplicaNão se aplicaNão se aplica",Mercado_Receita!$N$2:$N$241)</f>
        <v>0</v>
      </c>
      <c r="T25" s="13">
        <f>SUMIF(Mercado_Receita!$T$2:$T$241,"44713B2Energia convencionalRuralCooperativa de eletrificação ruralNão se aplicaNão se aplicaNão se aplica",Mercado_Receita!$N$2:$N$241)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88"/>
      <c r="B26" s="87" t="s">
        <v>65</v>
      </c>
      <c r="C26" s="87" t="s">
        <v>42</v>
      </c>
      <c r="D26" s="87" t="s">
        <v>84</v>
      </c>
      <c r="E26" s="87" t="s">
        <v>25</v>
      </c>
      <c r="F26" s="87" t="s">
        <v>25</v>
      </c>
      <c r="G26" s="13" t="s">
        <v>67</v>
      </c>
      <c r="H26" s="13" t="s">
        <v>66</v>
      </c>
      <c r="I26" s="13">
        <f>SUMIF(Mercado_Receita!$T$2:$T$241,"44378B2Energia horáriaRuralServiço público de irrigação ruralNão se aplicaNão se aplicaPonta",Mercado_Receita!$N$2:$N$241)</f>
        <v>0</v>
      </c>
      <c r="J26" s="13">
        <f>SUMIF(Mercado_Receita!$T$2:$T$241,"44409B2Energia horáriaRuralServiço público de irrigação ruralNão se aplicaNão se aplicaPonta",Mercado_Receita!$N$2:$N$241)</f>
        <v>0</v>
      </c>
      <c r="K26" s="13">
        <f>SUMIF(Mercado_Receita!$T$2:$T$241,"44440B2Energia horáriaRuralServiço público de irrigação ruralNão se aplicaNão se aplicaPonta",Mercado_Receita!$N$2:$N$241)</f>
        <v>0</v>
      </c>
      <c r="L26" s="13">
        <f>SUMIF(Mercado_Receita!$T$2:$T$241,"44470B2Energia horáriaRuralServiço público de irrigação ruralNão se aplicaNão se aplicaPonta",Mercado_Receita!$N$2:$N$241)</f>
        <v>0</v>
      </c>
      <c r="M26" s="13">
        <f>SUMIF(Mercado_Receita!$T$2:$T$241,"44501B2Energia horáriaRuralServiço público de irrigação ruralNão se aplicaNão se aplicaPonta",Mercado_Receita!$N$2:$N$241)</f>
        <v>0</v>
      </c>
      <c r="N26" s="13">
        <f>SUMIF(Mercado_Receita!$T$2:$T$241,"44531B2Energia horáriaRuralServiço público de irrigação ruralNão se aplicaNão se aplicaPonta",Mercado_Receita!$N$2:$N$241)</f>
        <v>0</v>
      </c>
      <c r="O26" s="13">
        <f>SUMIF(Mercado_Receita!$T$2:$T$241,"44562B2Energia horáriaRuralServiço público de irrigação ruralNão se aplicaNão se aplicaPonta",Mercado_Receita!$N$2:$N$241)</f>
        <v>0</v>
      </c>
      <c r="P26" s="13">
        <f>SUMIF(Mercado_Receita!$T$2:$T$241,"44593B2Energia horáriaRuralServiço público de irrigação ruralNão se aplicaNão se aplicaPonta",Mercado_Receita!$N$2:$N$241)</f>
        <v>0</v>
      </c>
      <c r="Q26" s="13">
        <f>SUMIF(Mercado_Receita!$T$2:$T$241,"44621B2Energia horáriaRuralServiço público de irrigação ruralNão se aplicaNão se aplicaPonta",Mercado_Receita!$N$2:$N$241)</f>
        <v>0</v>
      </c>
      <c r="R26" s="13">
        <f>SUMIF(Mercado_Receita!$T$2:$T$241,"44652B2Energia horáriaRuralServiço público de irrigação ruralNão se aplicaNão se aplicaPonta",Mercado_Receita!$N$2:$N$241)</f>
        <v>0</v>
      </c>
      <c r="S26" s="13">
        <f>SUMIF(Mercado_Receita!$T$2:$T$241,"44682B2Energia horáriaRuralServiço público de irrigação ruralNão se aplicaNão se aplicaPonta",Mercado_Receita!$N$2:$N$241)</f>
        <v>0</v>
      </c>
      <c r="T26" s="13">
        <f>SUMIF(Mercado_Receita!$T$2:$T$241,"44713B2Energia horáriaRuralServiço público de irrigação ruralNão se aplicaNão se aplicaPonta",Mercado_Receita!$N$2:$N$241)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88"/>
      <c r="B27" s="88"/>
      <c r="C27" s="88"/>
      <c r="D27" s="88"/>
      <c r="E27" s="88"/>
      <c r="F27" s="88"/>
      <c r="G27" s="13" t="s">
        <v>80</v>
      </c>
      <c r="H27" s="13" t="s">
        <v>66</v>
      </c>
      <c r="I27" s="13">
        <f>SUMIF(Mercado_Receita!$T$2:$T$241,"44378B2Energia horáriaRuralServiço público de irrigação ruralNão se aplicaNão se aplicaIntermediário",Mercado_Receita!$N$2:$N$241)</f>
        <v>0</v>
      </c>
      <c r="J27" s="13">
        <f>SUMIF(Mercado_Receita!$T$2:$T$241,"44409B2Energia horáriaRuralServiço público de irrigação ruralNão se aplicaNão se aplicaIntermediário",Mercado_Receita!$N$2:$N$241)</f>
        <v>0</v>
      </c>
      <c r="K27" s="13">
        <f>SUMIF(Mercado_Receita!$T$2:$T$241,"44440B2Energia horáriaRuralServiço público de irrigação ruralNão se aplicaNão se aplicaIntermediário",Mercado_Receita!$N$2:$N$241)</f>
        <v>0</v>
      </c>
      <c r="L27" s="13">
        <f>SUMIF(Mercado_Receita!$T$2:$T$241,"44470B2Energia horáriaRuralServiço público de irrigação ruralNão se aplicaNão se aplicaIntermediário",Mercado_Receita!$N$2:$N$241)</f>
        <v>0</v>
      </c>
      <c r="M27" s="13">
        <f>SUMIF(Mercado_Receita!$T$2:$T$241,"44501B2Energia horáriaRuralServiço público de irrigação ruralNão se aplicaNão se aplicaIntermediário",Mercado_Receita!$N$2:$N$241)</f>
        <v>0</v>
      </c>
      <c r="N27" s="13">
        <f>SUMIF(Mercado_Receita!$T$2:$T$241,"44531B2Energia horáriaRuralServiço público de irrigação ruralNão se aplicaNão se aplicaIntermediário",Mercado_Receita!$N$2:$N$241)</f>
        <v>0</v>
      </c>
      <c r="O27" s="13">
        <f>SUMIF(Mercado_Receita!$T$2:$T$241,"44562B2Energia horáriaRuralServiço público de irrigação ruralNão se aplicaNão se aplicaIntermediário",Mercado_Receita!$N$2:$N$241)</f>
        <v>0</v>
      </c>
      <c r="P27" s="13">
        <f>SUMIF(Mercado_Receita!$T$2:$T$241,"44593B2Energia horáriaRuralServiço público de irrigação ruralNão se aplicaNão se aplicaIntermediário",Mercado_Receita!$N$2:$N$241)</f>
        <v>0</v>
      </c>
      <c r="Q27" s="13">
        <f>SUMIF(Mercado_Receita!$T$2:$T$241,"44621B2Energia horáriaRuralServiço público de irrigação ruralNão se aplicaNão se aplicaIntermediário",Mercado_Receita!$N$2:$N$241)</f>
        <v>0</v>
      </c>
      <c r="R27" s="13">
        <f>SUMIF(Mercado_Receita!$T$2:$T$241,"44652B2Energia horáriaRuralServiço público de irrigação ruralNão se aplicaNão se aplicaIntermediário",Mercado_Receita!$N$2:$N$241)</f>
        <v>0</v>
      </c>
      <c r="S27" s="13">
        <f>SUMIF(Mercado_Receita!$T$2:$T$241,"44682B2Energia horáriaRuralServiço público de irrigação ruralNão se aplicaNão se aplicaIntermediário",Mercado_Receita!$N$2:$N$241)</f>
        <v>0</v>
      </c>
      <c r="T27" s="13">
        <f>SUMIF(Mercado_Receita!$T$2:$T$241,"44713B2Energia horáriaRuralServiço público de irrigação ruralNão se aplicaNão se aplicaIntermediário",Mercado_Receita!$N$2:$N$241)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88"/>
      <c r="B28" s="88"/>
      <c r="C28" s="88"/>
      <c r="D28" s="88"/>
      <c r="E28" s="88"/>
      <c r="F28" s="88"/>
      <c r="G28" s="13" t="s">
        <v>68</v>
      </c>
      <c r="H28" s="13" t="s">
        <v>66</v>
      </c>
      <c r="I28" s="13">
        <f>SUMIF(Mercado_Receita!$T$2:$T$241,"44378B2Energia horáriaRuralServiço público de irrigação ruralNão se aplicaNão se aplicaFora ponta",Mercado_Receita!$N$2:$N$241)</f>
        <v>0</v>
      </c>
      <c r="J28" s="13">
        <f>SUMIF(Mercado_Receita!$T$2:$T$241,"44409B2Energia horáriaRuralServiço público de irrigação ruralNão se aplicaNão se aplicaFora ponta",Mercado_Receita!$N$2:$N$241)</f>
        <v>0</v>
      </c>
      <c r="K28" s="13">
        <f>SUMIF(Mercado_Receita!$T$2:$T$241,"44440B2Energia horáriaRuralServiço público de irrigação ruralNão se aplicaNão se aplicaFora ponta",Mercado_Receita!$N$2:$N$241)</f>
        <v>0</v>
      </c>
      <c r="L28" s="13">
        <f>SUMIF(Mercado_Receita!$T$2:$T$241,"44470B2Energia horáriaRuralServiço público de irrigação ruralNão se aplicaNão se aplicaFora ponta",Mercado_Receita!$N$2:$N$241)</f>
        <v>0</v>
      </c>
      <c r="M28" s="13">
        <f>SUMIF(Mercado_Receita!$T$2:$T$241,"44501B2Energia horáriaRuralServiço público de irrigação ruralNão se aplicaNão se aplicaFora ponta",Mercado_Receita!$N$2:$N$241)</f>
        <v>0</v>
      </c>
      <c r="N28" s="13">
        <f>SUMIF(Mercado_Receita!$T$2:$T$241,"44531B2Energia horáriaRuralServiço público de irrigação ruralNão se aplicaNão se aplicaFora ponta",Mercado_Receita!$N$2:$N$241)</f>
        <v>0</v>
      </c>
      <c r="O28" s="13">
        <f>SUMIF(Mercado_Receita!$T$2:$T$241,"44562B2Energia horáriaRuralServiço público de irrigação ruralNão se aplicaNão se aplicaFora ponta",Mercado_Receita!$N$2:$N$241)</f>
        <v>0</v>
      </c>
      <c r="P28" s="13">
        <f>SUMIF(Mercado_Receita!$T$2:$T$241,"44593B2Energia horáriaRuralServiço público de irrigação ruralNão se aplicaNão se aplicaFora ponta",Mercado_Receita!$N$2:$N$241)</f>
        <v>0</v>
      </c>
      <c r="Q28" s="13">
        <f>SUMIF(Mercado_Receita!$T$2:$T$241,"44621B2Energia horáriaRuralServiço público de irrigação ruralNão se aplicaNão se aplicaFora ponta",Mercado_Receita!$N$2:$N$241)</f>
        <v>0</v>
      </c>
      <c r="R28" s="13">
        <f>SUMIF(Mercado_Receita!$T$2:$T$241,"44652B2Energia horáriaRuralServiço público de irrigação ruralNão se aplicaNão se aplicaFora ponta",Mercado_Receita!$N$2:$N$241)</f>
        <v>0</v>
      </c>
      <c r="S28" s="13">
        <f>SUMIF(Mercado_Receita!$T$2:$T$241,"44682B2Energia horáriaRuralServiço público de irrigação ruralNão se aplicaNão se aplicaFora ponta",Mercado_Receita!$N$2:$N$241)</f>
        <v>0</v>
      </c>
      <c r="T28" s="13">
        <f>SUMIF(Mercado_Receita!$T$2:$T$241,"44713B2Energia horáriaRuralServiço público de irrigação ruralNão se aplicaNão se aplicaFora ponta",Mercado_Receita!$N$2:$N$241)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88"/>
      <c r="B29" s="12" t="s">
        <v>69</v>
      </c>
      <c r="C29" s="12" t="s">
        <v>42</v>
      </c>
      <c r="D29" s="12" t="s">
        <v>84</v>
      </c>
      <c r="E29" s="12" t="s">
        <v>25</v>
      </c>
      <c r="F29" s="12" t="s">
        <v>25</v>
      </c>
      <c r="G29" s="13" t="s">
        <v>70</v>
      </c>
      <c r="H29" s="13" t="s">
        <v>66</v>
      </c>
      <c r="I29" s="13">
        <f>SUMIF(Mercado_Receita!$T$2:$T$241,"44378B2Energia convencionalRuralServiço público de irrigação ruralNão se aplicaNão se aplicaNão se aplica",Mercado_Receita!$N$2:$N$241)</f>
        <v>0</v>
      </c>
      <c r="J29" s="13">
        <f>SUMIF(Mercado_Receita!$T$2:$T$241,"44409B2Energia convencionalRuralServiço público de irrigação ruralNão se aplicaNão se aplicaNão se aplica",Mercado_Receita!$N$2:$N$241)</f>
        <v>0</v>
      </c>
      <c r="K29" s="13">
        <f>SUMIF(Mercado_Receita!$T$2:$T$241,"44440B2Energia convencionalRuralServiço público de irrigação ruralNão se aplicaNão se aplicaNão se aplica",Mercado_Receita!$N$2:$N$241)</f>
        <v>0</v>
      </c>
      <c r="L29" s="13">
        <f>SUMIF(Mercado_Receita!$T$2:$T$241,"44470B2Energia convencionalRuralServiço público de irrigação ruralNão se aplicaNão se aplicaNão se aplica",Mercado_Receita!$N$2:$N$241)</f>
        <v>0</v>
      </c>
      <c r="M29" s="13">
        <f>SUMIF(Mercado_Receita!$T$2:$T$241,"44501B2Energia convencionalRuralServiço público de irrigação ruralNão se aplicaNão se aplicaNão se aplica",Mercado_Receita!$N$2:$N$241)</f>
        <v>0</v>
      </c>
      <c r="N29" s="13">
        <f>SUMIF(Mercado_Receita!$T$2:$T$241,"44531B2Energia convencionalRuralServiço público de irrigação ruralNão se aplicaNão se aplicaNão se aplica",Mercado_Receita!$N$2:$N$241)</f>
        <v>0</v>
      </c>
      <c r="O29" s="13">
        <f>SUMIF(Mercado_Receita!$T$2:$T$241,"44562B2Energia convencionalRuralServiço público de irrigação ruralNão se aplicaNão se aplicaNão se aplica",Mercado_Receita!$N$2:$N$241)</f>
        <v>0</v>
      </c>
      <c r="P29" s="13">
        <f>SUMIF(Mercado_Receita!$T$2:$T$241,"44593B2Energia convencionalRuralServiço público de irrigação ruralNão se aplicaNão se aplicaNão se aplica",Mercado_Receita!$N$2:$N$241)</f>
        <v>0</v>
      </c>
      <c r="Q29" s="13">
        <f>SUMIF(Mercado_Receita!$T$2:$T$241,"44621B2Energia convencionalRuralServiço público de irrigação ruralNão se aplicaNão se aplicaNão se aplica",Mercado_Receita!$N$2:$N$241)</f>
        <v>0</v>
      </c>
      <c r="R29" s="13">
        <f>SUMIF(Mercado_Receita!$T$2:$T$241,"44652B2Energia convencionalRuralServiço público de irrigação ruralNão se aplicaNão se aplicaNão se aplica",Mercado_Receita!$N$2:$N$241)</f>
        <v>0</v>
      </c>
      <c r="S29" s="13">
        <f>SUMIF(Mercado_Receita!$T$2:$T$241,"44682B2Energia convencionalRuralServiço público de irrigação ruralNão se aplicaNão se aplicaNão se aplica",Mercado_Receita!$N$2:$N$241)</f>
        <v>0</v>
      </c>
      <c r="T29" s="13">
        <f>SUMIF(Mercado_Receita!$T$2:$T$241,"44713B2Energia convencionalRuralServiço público de irrigação ruralNão se aplicaNão se aplicaNão se aplica",Mercado_Receita!$N$2:$N$241)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88"/>
      <c r="B30" s="87" t="s">
        <v>81</v>
      </c>
      <c r="C30" s="87" t="s">
        <v>42</v>
      </c>
      <c r="D30" s="12" t="s">
        <v>25</v>
      </c>
      <c r="E30" s="12" t="s">
        <v>25</v>
      </c>
      <c r="F30" s="12" t="s">
        <v>25</v>
      </c>
      <c r="G30" s="13" t="s">
        <v>70</v>
      </c>
      <c r="H30" s="13" t="s">
        <v>66</v>
      </c>
      <c r="I30" s="13">
        <f>SUMIF(Mercado_Receita!$T$2:$T$241,"44378B2Energia convencional pré-pagamentoRuralNão se aplicaNão se aplicaNão se aplicaNão se aplica",Mercado_Receita!$N$2:$N$241)</f>
        <v>0</v>
      </c>
      <c r="J30" s="13">
        <f>SUMIF(Mercado_Receita!$T$2:$T$241,"44409B2Energia convencional pré-pagamentoRuralNão se aplicaNão se aplicaNão se aplicaNão se aplica",Mercado_Receita!$N$2:$N$241)</f>
        <v>0</v>
      </c>
      <c r="K30" s="13">
        <f>SUMIF(Mercado_Receita!$T$2:$T$241,"44440B2Energia convencional pré-pagamentoRuralNão se aplicaNão se aplicaNão se aplicaNão se aplica",Mercado_Receita!$N$2:$N$241)</f>
        <v>0</v>
      </c>
      <c r="L30" s="13">
        <f>SUMIF(Mercado_Receita!$T$2:$T$241,"44470B2Energia convencional pré-pagamentoRuralNão se aplicaNão se aplicaNão se aplicaNão se aplica",Mercado_Receita!$N$2:$N$241)</f>
        <v>0</v>
      </c>
      <c r="M30" s="13">
        <f>SUMIF(Mercado_Receita!$T$2:$T$241,"44501B2Energia convencional pré-pagamentoRuralNão se aplicaNão se aplicaNão se aplicaNão se aplica",Mercado_Receita!$N$2:$N$241)</f>
        <v>0</v>
      </c>
      <c r="N30" s="13">
        <f>SUMIF(Mercado_Receita!$T$2:$T$241,"44531B2Energia convencional pré-pagamentoRuralNão se aplicaNão se aplicaNão se aplicaNão se aplica",Mercado_Receita!$N$2:$N$241)</f>
        <v>0</v>
      </c>
      <c r="O30" s="13">
        <f>SUMIF(Mercado_Receita!$T$2:$T$241,"44562B2Energia convencional pré-pagamentoRuralNão se aplicaNão se aplicaNão se aplicaNão se aplica",Mercado_Receita!$N$2:$N$241)</f>
        <v>0</v>
      </c>
      <c r="P30" s="13">
        <f>SUMIF(Mercado_Receita!$T$2:$T$241,"44593B2Energia convencional pré-pagamentoRuralNão se aplicaNão se aplicaNão se aplicaNão se aplica",Mercado_Receita!$N$2:$N$241)</f>
        <v>0</v>
      </c>
      <c r="Q30" s="13">
        <f>SUMIF(Mercado_Receita!$T$2:$T$241,"44621B2Energia convencional pré-pagamentoRuralNão se aplicaNão se aplicaNão se aplicaNão se aplica",Mercado_Receita!$N$2:$N$241)</f>
        <v>0</v>
      </c>
      <c r="R30" s="13">
        <f>SUMIF(Mercado_Receita!$T$2:$T$241,"44652B2Energia convencional pré-pagamentoRuralNão se aplicaNão se aplicaNão se aplicaNão se aplica",Mercado_Receita!$N$2:$N$241)</f>
        <v>0</v>
      </c>
      <c r="S30" s="13">
        <f>SUMIF(Mercado_Receita!$T$2:$T$241,"44682B2Energia convencional pré-pagamentoRuralNão se aplicaNão se aplicaNão se aplicaNão se aplica",Mercado_Receita!$N$2:$N$241)</f>
        <v>0</v>
      </c>
      <c r="T30" s="13">
        <f>SUMIF(Mercado_Receita!$T$2:$T$241,"44713B2Energia convencional pré-pagamentoRuralNão se aplicaNão se aplicaNão se aplicaNão se aplica",Mercado_Receita!$N$2:$N$241)</f>
        <v>0</v>
      </c>
      <c r="U30" s="13">
        <f t="shared" si="0"/>
        <v>0</v>
      </c>
      <c r="V30" s="13"/>
      <c r="W30" s="13"/>
    </row>
    <row r="31" spans="1:23" ht="11.25" customHeight="1" x14ac:dyDescent="0.25">
      <c r="A31" s="88"/>
      <c r="B31" s="88"/>
      <c r="C31" s="88"/>
      <c r="D31" s="12" t="s">
        <v>83</v>
      </c>
      <c r="E31" s="12" t="s">
        <v>25</v>
      </c>
      <c r="F31" s="12" t="s">
        <v>25</v>
      </c>
      <c r="G31" s="13" t="s">
        <v>70</v>
      </c>
      <c r="H31" s="13" t="s">
        <v>66</v>
      </c>
      <c r="I31" s="13">
        <f>SUMIF(Mercado_Receita!$T$2:$T$241,"44378B2Energia convencional pré-pagamentoRuralCooperativa de eletrificação ruralNão se aplicaNão se aplicaNão se aplica",Mercado_Receita!$N$2:$N$241)</f>
        <v>0</v>
      </c>
      <c r="J31" s="13">
        <f>SUMIF(Mercado_Receita!$T$2:$T$241,"44409B2Energia convencional pré-pagamentoRuralCooperativa de eletrificação ruralNão se aplicaNão se aplicaNão se aplica",Mercado_Receita!$N$2:$N$241)</f>
        <v>0</v>
      </c>
      <c r="K31" s="13">
        <f>SUMIF(Mercado_Receita!$T$2:$T$241,"44440B2Energia convencional pré-pagamentoRuralCooperativa de eletrificação ruralNão se aplicaNão se aplicaNão se aplica",Mercado_Receita!$N$2:$N$241)</f>
        <v>0</v>
      </c>
      <c r="L31" s="13">
        <f>SUMIF(Mercado_Receita!$T$2:$T$241,"44470B2Energia convencional pré-pagamentoRuralCooperativa de eletrificação ruralNão se aplicaNão se aplicaNão se aplica",Mercado_Receita!$N$2:$N$241)</f>
        <v>0</v>
      </c>
      <c r="M31" s="13">
        <f>SUMIF(Mercado_Receita!$T$2:$T$241,"44501B2Energia convencional pré-pagamentoRuralCooperativa de eletrificação ruralNão se aplicaNão se aplicaNão se aplica",Mercado_Receita!$N$2:$N$241)</f>
        <v>0</v>
      </c>
      <c r="N31" s="13">
        <f>SUMIF(Mercado_Receita!$T$2:$T$241,"44531B2Energia convencional pré-pagamentoRuralCooperativa de eletrificação ruralNão se aplicaNão se aplicaNão se aplica",Mercado_Receita!$N$2:$N$241)</f>
        <v>0</v>
      </c>
      <c r="O31" s="13">
        <f>SUMIF(Mercado_Receita!$T$2:$T$241,"44562B2Energia convencional pré-pagamentoRuralCooperativa de eletrificação ruralNão se aplicaNão se aplicaNão se aplica",Mercado_Receita!$N$2:$N$241)</f>
        <v>0</v>
      </c>
      <c r="P31" s="13">
        <f>SUMIF(Mercado_Receita!$T$2:$T$241,"44593B2Energia convencional pré-pagamentoRuralCooperativa de eletrificação ruralNão se aplicaNão se aplicaNão se aplica",Mercado_Receita!$N$2:$N$241)</f>
        <v>0</v>
      </c>
      <c r="Q31" s="13">
        <f>SUMIF(Mercado_Receita!$T$2:$T$241,"44621B2Energia convencional pré-pagamentoRuralCooperativa de eletrificação ruralNão se aplicaNão se aplicaNão se aplica",Mercado_Receita!$N$2:$N$241)</f>
        <v>0</v>
      </c>
      <c r="R31" s="13">
        <f>SUMIF(Mercado_Receita!$T$2:$T$241,"44652B2Energia convencional pré-pagamentoRuralCooperativa de eletrificação ruralNão se aplicaNão se aplicaNão se aplica",Mercado_Receita!$N$2:$N$241)</f>
        <v>0</v>
      </c>
      <c r="S31" s="13">
        <f>SUMIF(Mercado_Receita!$T$2:$T$241,"44682B2Energia convencional pré-pagamentoRuralCooperativa de eletrificação ruralNão se aplicaNão se aplicaNão se aplica",Mercado_Receita!$N$2:$N$241)</f>
        <v>0</v>
      </c>
      <c r="T31" s="13">
        <f>SUMIF(Mercado_Receita!$T$2:$T$241,"44713B2Energia convencional pré-pagamentoRuralCooperativa de eletrificação ruralNão se aplicaNão se aplicaNão se aplica",Mercado_Receita!$N$2:$N$241)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88"/>
      <c r="B32" s="88"/>
      <c r="C32" s="88"/>
      <c r="D32" s="12" t="s">
        <v>84</v>
      </c>
      <c r="E32" s="12" t="s">
        <v>25</v>
      </c>
      <c r="F32" s="12" t="s">
        <v>25</v>
      </c>
      <c r="G32" s="13" t="s">
        <v>70</v>
      </c>
      <c r="H32" s="13" t="s">
        <v>66</v>
      </c>
      <c r="I32" s="13">
        <f>SUMIF(Mercado_Receita!$T$2:$T$241,"44378B2Energia convencional pré-pagamentoRuralServiço público de irrigação ruralNão se aplicaNão se aplicaNão se aplica",Mercado_Receita!$N$2:$N$241)</f>
        <v>0</v>
      </c>
      <c r="J32" s="13">
        <f>SUMIF(Mercado_Receita!$T$2:$T$241,"44409B2Energia convencional pré-pagamentoRuralServiço público de irrigação ruralNão se aplicaNão se aplicaNão se aplica",Mercado_Receita!$N$2:$N$241)</f>
        <v>0</v>
      </c>
      <c r="K32" s="13">
        <f>SUMIF(Mercado_Receita!$T$2:$T$241,"44440B2Energia convencional pré-pagamentoRuralServiço público de irrigação ruralNão se aplicaNão se aplicaNão se aplica",Mercado_Receita!$N$2:$N$241)</f>
        <v>0</v>
      </c>
      <c r="L32" s="13">
        <f>SUMIF(Mercado_Receita!$T$2:$T$241,"44470B2Energia convencional pré-pagamentoRuralServiço público de irrigação ruralNão se aplicaNão se aplicaNão se aplica",Mercado_Receita!$N$2:$N$241)</f>
        <v>0</v>
      </c>
      <c r="M32" s="13">
        <f>SUMIF(Mercado_Receita!$T$2:$T$241,"44501B2Energia convencional pré-pagamentoRuralServiço público de irrigação ruralNão se aplicaNão se aplicaNão se aplica",Mercado_Receita!$N$2:$N$241)</f>
        <v>0</v>
      </c>
      <c r="N32" s="13">
        <f>SUMIF(Mercado_Receita!$T$2:$T$241,"44531B2Energia convencional pré-pagamentoRuralServiço público de irrigação ruralNão se aplicaNão se aplicaNão se aplica",Mercado_Receita!$N$2:$N$241)</f>
        <v>0</v>
      </c>
      <c r="O32" s="13">
        <f>SUMIF(Mercado_Receita!$T$2:$T$241,"44562B2Energia convencional pré-pagamentoRuralServiço público de irrigação ruralNão se aplicaNão se aplicaNão se aplica",Mercado_Receita!$N$2:$N$241)</f>
        <v>0</v>
      </c>
      <c r="P32" s="13">
        <f>SUMIF(Mercado_Receita!$T$2:$T$241,"44593B2Energia convencional pré-pagamentoRuralServiço público de irrigação ruralNão se aplicaNão se aplicaNão se aplica",Mercado_Receita!$N$2:$N$241)</f>
        <v>0</v>
      </c>
      <c r="Q32" s="13">
        <f>SUMIF(Mercado_Receita!$T$2:$T$241,"44621B2Energia convencional pré-pagamentoRuralServiço público de irrigação ruralNão se aplicaNão se aplicaNão se aplica",Mercado_Receita!$N$2:$N$241)</f>
        <v>0</v>
      </c>
      <c r="R32" s="13">
        <f>SUMIF(Mercado_Receita!$T$2:$T$241,"44652B2Energia convencional pré-pagamentoRuralServiço público de irrigação ruralNão se aplicaNão se aplicaNão se aplica",Mercado_Receita!$N$2:$N$241)</f>
        <v>0</v>
      </c>
      <c r="S32" s="13">
        <f>SUMIF(Mercado_Receita!$T$2:$T$241,"44682B2Energia convencional pré-pagamentoRuralServiço público de irrigação ruralNão se aplicaNão se aplicaNão se aplica",Mercado_Receita!$N$2:$N$241)</f>
        <v>0</v>
      </c>
      <c r="T32" s="13">
        <f>SUMIF(Mercado_Receita!$T$2:$T$241,"44713B2Energia convencional pré-pagamentoRuralServiço público de irrigação ruralNão se aplicaNão se aplicaNão se aplica",Mercado_Receita!$N$2:$N$241)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87" t="s">
        <v>37</v>
      </c>
      <c r="B33" s="87" t="s">
        <v>65</v>
      </c>
      <c r="C33" s="87" t="s">
        <v>25</v>
      </c>
      <c r="D33" s="87" t="s">
        <v>25</v>
      </c>
      <c r="E33" s="87" t="s">
        <v>25</v>
      </c>
      <c r="F33" s="87" t="s">
        <v>25</v>
      </c>
      <c r="G33" s="13" t="s">
        <v>67</v>
      </c>
      <c r="H33" s="13" t="s">
        <v>66</v>
      </c>
      <c r="I33" s="13">
        <f>SUMIF(Mercado_Receita!$T$2:$T$241,"44378B3Energia horáriaNão se aplicaNão se aplicaNão se aplicaNão se aplicaPonta",Mercado_Receita!$N$2:$N$241)</f>
        <v>0</v>
      </c>
      <c r="J33" s="13">
        <f>SUMIF(Mercado_Receita!$T$2:$T$241,"44409B3Energia horáriaNão se aplicaNão se aplicaNão se aplicaNão se aplicaPonta",Mercado_Receita!$N$2:$N$241)</f>
        <v>0</v>
      </c>
      <c r="K33" s="13">
        <f>SUMIF(Mercado_Receita!$T$2:$T$241,"44440B3Energia horáriaNão se aplicaNão se aplicaNão se aplicaNão se aplicaPonta",Mercado_Receita!$N$2:$N$241)</f>
        <v>0</v>
      </c>
      <c r="L33" s="13">
        <f>SUMIF(Mercado_Receita!$T$2:$T$241,"44470B3Energia horáriaNão se aplicaNão se aplicaNão se aplicaNão se aplicaPonta",Mercado_Receita!$N$2:$N$241)</f>
        <v>0</v>
      </c>
      <c r="M33" s="13">
        <f>SUMIF(Mercado_Receita!$T$2:$T$241,"44501B3Energia horáriaNão se aplicaNão se aplicaNão se aplicaNão se aplicaPonta",Mercado_Receita!$N$2:$N$241)</f>
        <v>0</v>
      </c>
      <c r="N33" s="13">
        <f>SUMIF(Mercado_Receita!$T$2:$T$241,"44531B3Energia horáriaNão se aplicaNão se aplicaNão se aplicaNão se aplicaPonta",Mercado_Receita!$N$2:$N$241)</f>
        <v>0</v>
      </c>
      <c r="O33" s="13">
        <f>SUMIF(Mercado_Receita!$T$2:$T$241,"44562B3Energia horáriaNão se aplicaNão se aplicaNão se aplicaNão se aplicaPonta",Mercado_Receita!$N$2:$N$241)</f>
        <v>0</v>
      </c>
      <c r="P33" s="13">
        <f>SUMIF(Mercado_Receita!$T$2:$T$241,"44593B3Energia horáriaNão se aplicaNão se aplicaNão se aplicaNão se aplicaPonta",Mercado_Receita!$N$2:$N$241)</f>
        <v>0</v>
      </c>
      <c r="Q33" s="13">
        <f>SUMIF(Mercado_Receita!$T$2:$T$241,"44621B3Energia horáriaNão se aplicaNão se aplicaNão se aplicaNão se aplicaPonta",Mercado_Receita!$N$2:$N$241)</f>
        <v>0</v>
      </c>
      <c r="R33" s="13">
        <f>SUMIF(Mercado_Receita!$T$2:$T$241,"44652B3Energia horáriaNão se aplicaNão se aplicaNão se aplicaNão se aplicaPonta",Mercado_Receita!$N$2:$N$241)</f>
        <v>0</v>
      </c>
      <c r="S33" s="13">
        <f>SUMIF(Mercado_Receita!$T$2:$T$241,"44682B3Energia horáriaNão se aplicaNão se aplicaNão se aplicaNão se aplicaPonta",Mercado_Receita!$N$2:$N$241)</f>
        <v>0</v>
      </c>
      <c r="T33" s="13">
        <f>SUMIF(Mercado_Receita!$T$2:$T$241,"44713B3Energia horáriaNão se aplicaNão se aplicaNão se aplicaNão se aplicaPonta",Mercado_Receita!$N$2:$N$241)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88"/>
      <c r="B34" s="88"/>
      <c r="C34" s="88"/>
      <c r="D34" s="88"/>
      <c r="E34" s="88"/>
      <c r="F34" s="88"/>
      <c r="G34" s="13" t="s">
        <v>80</v>
      </c>
      <c r="H34" s="13" t="s">
        <v>66</v>
      </c>
      <c r="I34" s="13">
        <f>SUMIF(Mercado_Receita!$T$2:$T$241,"44378B3Energia horáriaNão se aplicaNão se aplicaNão se aplicaNão se aplicaIntermediário",Mercado_Receita!$N$2:$N$241)</f>
        <v>0</v>
      </c>
      <c r="J34" s="13">
        <f>SUMIF(Mercado_Receita!$T$2:$T$241,"44409B3Energia horáriaNão se aplicaNão se aplicaNão se aplicaNão se aplicaIntermediário",Mercado_Receita!$N$2:$N$241)</f>
        <v>0</v>
      </c>
      <c r="K34" s="13">
        <f>SUMIF(Mercado_Receita!$T$2:$T$241,"44440B3Energia horáriaNão se aplicaNão se aplicaNão se aplicaNão se aplicaIntermediário",Mercado_Receita!$N$2:$N$241)</f>
        <v>0</v>
      </c>
      <c r="L34" s="13">
        <f>SUMIF(Mercado_Receita!$T$2:$T$241,"44470B3Energia horáriaNão se aplicaNão se aplicaNão se aplicaNão se aplicaIntermediário",Mercado_Receita!$N$2:$N$241)</f>
        <v>0</v>
      </c>
      <c r="M34" s="13">
        <f>SUMIF(Mercado_Receita!$T$2:$T$241,"44501B3Energia horáriaNão se aplicaNão se aplicaNão se aplicaNão se aplicaIntermediário",Mercado_Receita!$N$2:$N$241)</f>
        <v>0</v>
      </c>
      <c r="N34" s="13">
        <f>SUMIF(Mercado_Receita!$T$2:$T$241,"44531B3Energia horáriaNão se aplicaNão se aplicaNão se aplicaNão se aplicaIntermediário",Mercado_Receita!$N$2:$N$241)</f>
        <v>0</v>
      </c>
      <c r="O34" s="13">
        <f>SUMIF(Mercado_Receita!$T$2:$T$241,"44562B3Energia horáriaNão se aplicaNão se aplicaNão se aplicaNão se aplicaIntermediário",Mercado_Receita!$N$2:$N$241)</f>
        <v>0</v>
      </c>
      <c r="P34" s="13">
        <f>SUMIF(Mercado_Receita!$T$2:$T$241,"44593B3Energia horáriaNão se aplicaNão se aplicaNão se aplicaNão se aplicaIntermediário",Mercado_Receita!$N$2:$N$241)</f>
        <v>0</v>
      </c>
      <c r="Q34" s="13">
        <f>SUMIF(Mercado_Receita!$T$2:$T$241,"44621B3Energia horáriaNão se aplicaNão se aplicaNão se aplicaNão se aplicaIntermediário",Mercado_Receita!$N$2:$N$241)</f>
        <v>0</v>
      </c>
      <c r="R34" s="13">
        <f>SUMIF(Mercado_Receita!$T$2:$T$241,"44652B3Energia horáriaNão se aplicaNão se aplicaNão se aplicaNão se aplicaIntermediário",Mercado_Receita!$N$2:$N$241)</f>
        <v>0</v>
      </c>
      <c r="S34" s="13">
        <f>SUMIF(Mercado_Receita!$T$2:$T$241,"44682B3Energia horáriaNão se aplicaNão se aplicaNão se aplicaNão se aplicaIntermediário",Mercado_Receita!$N$2:$N$241)</f>
        <v>0</v>
      </c>
      <c r="T34" s="13">
        <f>SUMIF(Mercado_Receita!$T$2:$T$241,"44713B3Energia horáriaNão se aplicaNão se aplicaNão se aplicaNão se aplicaIntermediário",Mercado_Receita!$N$2:$N$241)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88"/>
      <c r="B35" s="88"/>
      <c r="C35" s="88"/>
      <c r="D35" s="88"/>
      <c r="E35" s="88"/>
      <c r="F35" s="88"/>
      <c r="G35" s="13" t="s">
        <v>68</v>
      </c>
      <c r="H35" s="13" t="s">
        <v>66</v>
      </c>
      <c r="I35" s="13">
        <f>SUMIF(Mercado_Receita!$T$2:$T$241,"44378B3Energia horáriaNão se aplicaNão se aplicaNão se aplicaNão se aplicaFora ponta",Mercado_Receita!$N$2:$N$241)</f>
        <v>0</v>
      </c>
      <c r="J35" s="13">
        <f>SUMIF(Mercado_Receita!$T$2:$T$241,"44409B3Energia horáriaNão se aplicaNão se aplicaNão se aplicaNão se aplicaFora ponta",Mercado_Receita!$N$2:$N$241)</f>
        <v>0</v>
      </c>
      <c r="K35" s="13">
        <f>SUMIF(Mercado_Receita!$T$2:$T$241,"44440B3Energia horáriaNão se aplicaNão se aplicaNão se aplicaNão se aplicaFora ponta",Mercado_Receita!$N$2:$N$241)</f>
        <v>0</v>
      </c>
      <c r="L35" s="13">
        <f>SUMIF(Mercado_Receita!$T$2:$T$241,"44470B3Energia horáriaNão se aplicaNão se aplicaNão se aplicaNão se aplicaFora ponta",Mercado_Receita!$N$2:$N$241)</f>
        <v>0</v>
      </c>
      <c r="M35" s="13">
        <f>SUMIF(Mercado_Receita!$T$2:$T$241,"44501B3Energia horáriaNão se aplicaNão se aplicaNão se aplicaNão se aplicaFora ponta",Mercado_Receita!$N$2:$N$241)</f>
        <v>0</v>
      </c>
      <c r="N35" s="13">
        <f>SUMIF(Mercado_Receita!$T$2:$T$241,"44531B3Energia horáriaNão se aplicaNão se aplicaNão se aplicaNão se aplicaFora ponta",Mercado_Receita!$N$2:$N$241)</f>
        <v>0</v>
      </c>
      <c r="O35" s="13">
        <f>SUMIF(Mercado_Receita!$T$2:$T$241,"44562B3Energia horáriaNão se aplicaNão se aplicaNão se aplicaNão se aplicaFora ponta",Mercado_Receita!$N$2:$N$241)</f>
        <v>0</v>
      </c>
      <c r="P35" s="13">
        <f>SUMIF(Mercado_Receita!$T$2:$T$241,"44593B3Energia horáriaNão se aplicaNão se aplicaNão se aplicaNão se aplicaFora ponta",Mercado_Receita!$N$2:$N$241)</f>
        <v>0</v>
      </c>
      <c r="Q35" s="13">
        <f>SUMIF(Mercado_Receita!$T$2:$T$241,"44621B3Energia horáriaNão se aplicaNão se aplicaNão se aplicaNão se aplicaFora ponta",Mercado_Receita!$N$2:$N$241)</f>
        <v>0</v>
      </c>
      <c r="R35" s="13">
        <f>SUMIF(Mercado_Receita!$T$2:$T$241,"44652B3Energia horáriaNão se aplicaNão se aplicaNão se aplicaNão se aplicaFora ponta",Mercado_Receita!$N$2:$N$241)</f>
        <v>0</v>
      </c>
      <c r="S35" s="13">
        <f>SUMIF(Mercado_Receita!$T$2:$T$241,"44682B3Energia horáriaNão se aplicaNão se aplicaNão se aplicaNão se aplicaFora ponta",Mercado_Receita!$N$2:$N$241)</f>
        <v>0</v>
      </c>
      <c r="T35" s="13">
        <f>SUMIF(Mercado_Receita!$T$2:$T$241,"44713B3Energia horáriaNão se aplicaNão se aplicaNão se aplicaNão se aplicaFora ponta",Mercado_Receita!$N$2:$N$241)</f>
        <v>0</v>
      </c>
      <c r="U35" s="13">
        <f t="shared" si="0"/>
        <v>0</v>
      </c>
      <c r="V35" s="13"/>
      <c r="W35" s="13"/>
    </row>
    <row r="36" spans="1:23" ht="11.25" customHeight="1" x14ac:dyDescent="0.25">
      <c r="A36" s="88"/>
      <c r="B36" s="12" t="s">
        <v>69</v>
      </c>
      <c r="C36" s="12" t="s">
        <v>25</v>
      </c>
      <c r="D36" s="12" t="s">
        <v>25</v>
      </c>
      <c r="E36" s="12" t="s">
        <v>25</v>
      </c>
      <c r="F36" s="12" t="s">
        <v>25</v>
      </c>
      <c r="G36" s="13" t="s">
        <v>70</v>
      </c>
      <c r="H36" s="13" t="s">
        <v>66</v>
      </c>
      <c r="I36" s="13">
        <f>SUMIF(Mercado_Receita!$T$2:$T$241,"44378B3Energia convencionalNão se aplicaNão se aplicaNão se aplicaNão se aplicaNão se aplica",Mercado_Receita!$N$2:$N$241)</f>
        <v>110.256</v>
      </c>
      <c r="J36" s="13">
        <f>SUMIF(Mercado_Receita!$T$2:$T$241,"44409B3Energia convencionalNão se aplicaNão se aplicaNão se aplicaNão se aplicaNão se aplica",Mercado_Receita!$N$2:$N$241)</f>
        <v>134.42099999999999</v>
      </c>
      <c r="K36" s="13">
        <f>SUMIF(Mercado_Receita!$T$2:$T$241,"44440B3Energia convencionalNão se aplicaNão se aplicaNão se aplicaNão se aplicaNão se aplica",Mercado_Receita!$N$2:$N$241)</f>
        <v>148.41900000000001</v>
      </c>
      <c r="L36" s="13">
        <f>SUMIF(Mercado_Receita!$T$2:$T$241,"44470B3Energia convencionalNão se aplicaNão se aplicaNão se aplicaNão se aplicaNão se aplica",Mercado_Receita!$N$2:$N$241)</f>
        <v>142.51</v>
      </c>
      <c r="M36" s="13">
        <f>SUMIF(Mercado_Receita!$T$2:$T$241,"44501B3Energia convencionalNão se aplicaNão se aplicaNão se aplicaNão se aplicaNão se aplica",Mercado_Receita!$N$2:$N$241)</f>
        <v>119.03000000000002</v>
      </c>
      <c r="N36" s="13">
        <f>SUMIF(Mercado_Receita!$T$2:$T$241,"44531B3Energia convencionalNão se aplicaNão se aplicaNão se aplicaNão se aplicaNão se aplica",Mercado_Receita!$N$2:$N$241)</f>
        <v>112.006</v>
      </c>
      <c r="O36" s="13">
        <f>SUMIF(Mercado_Receita!$T$2:$T$241,"44562B3Energia convencionalNão se aplicaNão se aplicaNão se aplicaNão se aplicaNão se aplica",Mercado_Receita!$N$2:$N$241)</f>
        <v>102.387</v>
      </c>
      <c r="P36" s="13">
        <f>SUMIF(Mercado_Receita!$T$2:$T$241,"44593B3Energia convencionalNão se aplicaNão se aplicaNão se aplicaNão se aplicaNão se aplica",Mercado_Receita!$N$2:$N$241)</f>
        <v>113.848</v>
      </c>
      <c r="Q36" s="13">
        <f>SUMIF(Mercado_Receita!$T$2:$T$241,"44621B3Energia convencionalNão se aplicaNão se aplicaNão se aplicaNão se aplicaNão se aplica",Mercado_Receita!$N$2:$N$241)</f>
        <v>120.431</v>
      </c>
      <c r="R36" s="13">
        <f>SUMIF(Mercado_Receita!$T$2:$T$241,"44652B3Energia convencionalNão se aplicaNão se aplicaNão se aplicaNão se aplicaNão se aplica",Mercado_Receita!$N$2:$N$241)</f>
        <v>121.80800000000001</v>
      </c>
      <c r="S36" s="13">
        <f>SUMIF(Mercado_Receita!$T$2:$T$241,"44682B3Energia convencionalNão se aplicaNão se aplicaNão se aplicaNão se aplicaNão se aplica",Mercado_Receita!$N$2:$N$241)</f>
        <v>121.76400000000001</v>
      </c>
      <c r="T36" s="13">
        <f>SUMIF(Mercado_Receita!$T$2:$T$241,"44713B3Energia convencionalNão se aplicaNão se aplicaNão se aplicaNão se aplicaNão se aplica",Mercado_Receita!$N$2:$N$241)</f>
        <v>117.27000000000001</v>
      </c>
      <c r="U36" s="13">
        <f t="shared" si="0"/>
        <v>1464.15</v>
      </c>
      <c r="V36" s="13"/>
      <c r="W36" s="13"/>
    </row>
    <row r="37" spans="1:23" ht="11.25" customHeight="1" x14ac:dyDescent="0.25">
      <c r="A37" s="88"/>
      <c r="B37" s="12" t="s">
        <v>81</v>
      </c>
      <c r="C37" s="12" t="s">
        <v>25</v>
      </c>
      <c r="D37" s="12" t="s">
        <v>25</v>
      </c>
      <c r="E37" s="12" t="s">
        <v>25</v>
      </c>
      <c r="F37" s="12" t="s">
        <v>25</v>
      </c>
      <c r="G37" s="13" t="s">
        <v>70</v>
      </c>
      <c r="H37" s="13" t="s">
        <v>66</v>
      </c>
      <c r="I37" s="13">
        <f>SUMIF(Mercado_Receita!$T$2:$T$241,"44378B3Energia convencional pré-pagamentoNão se aplicaNão se aplicaNão se aplicaNão se aplicaNão se aplica",Mercado_Receita!$N$2:$N$241)</f>
        <v>0</v>
      </c>
      <c r="J37" s="13">
        <f>SUMIF(Mercado_Receita!$T$2:$T$241,"44409B3Energia convencional pré-pagamentoNão se aplicaNão se aplicaNão se aplicaNão se aplicaNão se aplica",Mercado_Receita!$N$2:$N$241)</f>
        <v>0</v>
      </c>
      <c r="K37" s="13">
        <f>SUMIF(Mercado_Receita!$T$2:$T$241,"44440B3Energia convencional pré-pagamentoNão se aplicaNão se aplicaNão se aplicaNão se aplicaNão se aplica",Mercado_Receita!$N$2:$N$241)</f>
        <v>0</v>
      </c>
      <c r="L37" s="13">
        <f>SUMIF(Mercado_Receita!$T$2:$T$241,"44470B3Energia convencional pré-pagamentoNão se aplicaNão se aplicaNão se aplicaNão se aplicaNão se aplica",Mercado_Receita!$N$2:$N$241)</f>
        <v>0</v>
      </c>
      <c r="M37" s="13">
        <f>SUMIF(Mercado_Receita!$T$2:$T$241,"44501B3Energia convencional pré-pagamentoNão se aplicaNão se aplicaNão se aplicaNão se aplicaNão se aplica",Mercado_Receita!$N$2:$N$241)</f>
        <v>0</v>
      </c>
      <c r="N37" s="13">
        <f>SUMIF(Mercado_Receita!$T$2:$T$241,"44531B3Energia convencional pré-pagamentoNão se aplicaNão se aplicaNão se aplicaNão se aplicaNão se aplica",Mercado_Receita!$N$2:$N$241)</f>
        <v>0</v>
      </c>
      <c r="O37" s="13">
        <f>SUMIF(Mercado_Receita!$T$2:$T$241,"44562B3Energia convencional pré-pagamentoNão se aplicaNão se aplicaNão se aplicaNão se aplicaNão se aplica",Mercado_Receita!$N$2:$N$241)</f>
        <v>0</v>
      </c>
      <c r="P37" s="13">
        <f>SUMIF(Mercado_Receita!$T$2:$T$241,"44593B3Energia convencional pré-pagamentoNão se aplicaNão se aplicaNão se aplicaNão se aplicaNão se aplica",Mercado_Receita!$N$2:$N$241)</f>
        <v>0</v>
      </c>
      <c r="Q37" s="13">
        <f>SUMIF(Mercado_Receita!$T$2:$T$241,"44621B3Energia convencional pré-pagamentoNão se aplicaNão se aplicaNão se aplicaNão se aplicaNão se aplica",Mercado_Receita!$N$2:$N$241)</f>
        <v>0</v>
      </c>
      <c r="R37" s="13">
        <f>SUMIF(Mercado_Receita!$T$2:$T$241,"44652B3Energia convencional pré-pagamentoNão se aplicaNão se aplicaNão se aplicaNão se aplicaNão se aplica",Mercado_Receita!$N$2:$N$241)</f>
        <v>0</v>
      </c>
      <c r="S37" s="13">
        <f>SUMIF(Mercado_Receita!$T$2:$T$241,"44682B3Energia convencional pré-pagamentoNão se aplicaNão se aplicaNão se aplicaNão se aplicaNão se aplica",Mercado_Receita!$N$2:$N$241)</f>
        <v>0</v>
      </c>
      <c r="T37" s="13">
        <f>SUMIF(Mercado_Receita!$T$2:$T$241,"44713B3Energia convencional pré-pagamentoNão se aplicaNão se aplicaNão se aplicaNão se aplicaNão se aplica",Mercado_Receita!$N$2:$N$241)</f>
        <v>0</v>
      </c>
      <c r="U37" s="13">
        <f t="shared" si="0"/>
        <v>0</v>
      </c>
      <c r="V37" s="13"/>
      <c r="W37" s="13"/>
    </row>
    <row r="38" spans="1:23" ht="11.25" customHeight="1" x14ac:dyDescent="0.25">
      <c r="A38" s="87" t="s">
        <v>44</v>
      </c>
      <c r="B38" s="87" t="s">
        <v>69</v>
      </c>
      <c r="C38" s="87" t="s">
        <v>45</v>
      </c>
      <c r="D38" s="12" t="s">
        <v>46</v>
      </c>
      <c r="E38" s="12" t="s">
        <v>25</v>
      </c>
      <c r="F38" s="12" t="s">
        <v>25</v>
      </c>
      <c r="G38" s="13" t="s">
        <v>70</v>
      </c>
      <c r="H38" s="13" t="s">
        <v>66</v>
      </c>
      <c r="I38" s="13">
        <f>SUMIF(Mercado_Receita!$T$2:$T$241,"44378B4Energia convencionalIluminação públicaIluminação pública – B4aNão se aplicaNão se aplicaNão se aplica",Mercado_Receita!$N$2:$N$241)</f>
        <v>40.082999999999998</v>
      </c>
      <c r="J38" s="13">
        <f>SUMIF(Mercado_Receita!$T$2:$T$241,"44409B4Energia convencionalIluminação públicaIluminação pública – B4aNão se aplicaNão se aplicaNão se aplica",Mercado_Receita!$N$2:$N$241)</f>
        <v>41.420999999999999</v>
      </c>
      <c r="K38" s="13">
        <f>SUMIF(Mercado_Receita!$T$2:$T$241,"44440B4Energia convencionalIluminação públicaIluminação pública – B4aNão se aplicaNão se aplicaNão se aplica",Mercado_Receita!$N$2:$N$241)</f>
        <v>41.75</v>
      </c>
      <c r="L38" s="13">
        <f>SUMIF(Mercado_Receita!$T$2:$T$241,"44470B4Energia convencionalIluminação públicaIluminação pública – B4aNão se aplicaNão se aplicaNão se aplica",Mercado_Receita!$N$2:$N$241)</f>
        <v>40.631</v>
      </c>
      <c r="M38" s="13">
        <f>SUMIF(Mercado_Receita!$T$2:$T$241,"44501B4Energia convencionalIluminação públicaIluminação pública – B4aNão se aplicaNão se aplicaNão se aplica",Mercado_Receita!$N$2:$N$241)</f>
        <v>41.988</v>
      </c>
      <c r="N38" s="13">
        <f>SUMIF(Mercado_Receita!$T$2:$T$241,"44531B4Energia convencionalIluminação públicaIluminação pública – B4aNão se aplicaNão se aplicaNão se aplica",Mercado_Receita!$N$2:$N$241)</f>
        <v>40.347000000000001</v>
      </c>
      <c r="O38" s="13">
        <f>SUMIF(Mercado_Receita!$T$2:$T$241,"44562B4Energia convencionalIluminação públicaIluminação pública – B4aNão se aplicaNão se aplicaNão se aplica",Mercado_Receita!$N$2:$N$241)</f>
        <v>41.988</v>
      </c>
      <c r="P38" s="13">
        <f>SUMIF(Mercado_Receita!$T$2:$T$241,"44593B4Energia convencionalIluminação públicaIluminação pública – B4aNão se aplicaNão se aplicaNão se aplica",Mercado_Receita!$N$2:$N$241)</f>
        <v>41.677</v>
      </c>
      <c r="Q38" s="13">
        <f>SUMIF(Mercado_Receita!$T$2:$T$241,"44621B4Energia convencionalIluminação públicaIluminação pública – B4aNão se aplicaNão se aplicaNão se aplica",Mercado_Receita!$N$2:$N$241)</f>
        <v>37.658000000000001</v>
      </c>
      <c r="R38" s="13">
        <f>SUMIF(Mercado_Receita!$T$2:$T$241,"44652B4Energia convencionalIluminação públicaIluminação pública – B4aNão se aplicaNão se aplicaNão se aplica",Mercado_Receita!$N$2:$N$241)</f>
        <v>41.695</v>
      </c>
      <c r="S38" s="13">
        <f>SUMIF(Mercado_Receita!$T$2:$T$241,"44682B4Energia convencionalIluminação públicaIluminação pública – B4aNão se aplicaNão se aplicaNão se aplica",Mercado_Receita!$N$2:$N$241)</f>
        <v>40.347999999999999</v>
      </c>
      <c r="T38" s="13">
        <f>SUMIF(Mercado_Receita!$T$2:$T$241,"44713B4Energia convencionalIluminação públicaIluminação pública – B4aNão se aplicaNão se aplicaNão se aplica",Mercado_Receita!$N$2:$N$241)</f>
        <v>41.695</v>
      </c>
      <c r="U38" s="13">
        <f t="shared" si="0"/>
        <v>491.28100000000001</v>
      </c>
      <c r="V38" s="13"/>
      <c r="W38" s="13"/>
    </row>
    <row r="39" spans="1:23" ht="11.25" customHeight="1" x14ac:dyDescent="0.25">
      <c r="A39" s="88"/>
      <c r="B39" s="88"/>
      <c r="C39" s="88"/>
      <c r="D39" s="13" t="s">
        <v>85</v>
      </c>
      <c r="E39" s="13" t="s">
        <v>25</v>
      </c>
      <c r="F39" s="13" t="s">
        <v>25</v>
      </c>
      <c r="G39" s="13" t="s">
        <v>70</v>
      </c>
      <c r="H39" s="13" t="s">
        <v>66</v>
      </c>
      <c r="I39" s="13">
        <f>SUMIF(Mercado_Receita!$T$2:$T$241,"44378B4Energia convencionalIluminação públicaIluminação pública – B4bNão se aplicaNão se aplicaNão se aplica",Mercado_Receita!$N$2:$N$241)</f>
        <v>0</v>
      </c>
      <c r="J39" s="13">
        <f>SUMIF(Mercado_Receita!$T$2:$T$241,"44409B4Energia convencionalIluminação públicaIluminação pública – B4bNão se aplicaNão se aplicaNão se aplica",Mercado_Receita!$N$2:$N$241)</f>
        <v>0</v>
      </c>
      <c r="K39" s="13">
        <f>SUMIF(Mercado_Receita!$T$2:$T$241,"44440B4Energia convencionalIluminação públicaIluminação pública – B4bNão se aplicaNão se aplicaNão se aplica",Mercado_Receita!$N$2:$N$241)</f>
        <v>0</v>
      </c>
      <c r="L39" s="13">
        <f>SUMIF(Mercado_Receita!$T$2:$T$241,"44470B4Energia convencionalIluminação públicaIluminação pública – B4bNão se aplicaNão se aplicaNão se aplica",Mercado_Receita!$N$2:$N$241)</f>
        <v>0</v>
      </c>
      <c r="M39" s="13">
        <f>SUMIF(Mercado_Receita!$T$2:$T$241,"44501B4Energia convencionalIluminação públicaIluminação pública – B4bNão se aplicaNão se aplicaNão se aplica",Mercado_Receita!$N$2:$N$241)</f>
        <v>0</v>
      </c>
      <c r="N39" s="13">
        <f>SUMIF(Mercado_Receita!$T$2:$T$241,"44531B4Energia convencionalIluminação públicaIluminação pública – B4bNão se aplicaNão se aplicaNão se aplica",Mercado_Receita!$N$2:$N$241)</f>
        <v>0</v>
      </c>
      <c r="O39" s="13">
        <f>SUMIF(Mercado_Receita!$T$2:$T$241,"44562B4Energia convencionalIluminação públicaIluminação pública – B4bNão se aplicaNão se aplicaNão se aplica",Mercado_Receita!$N$2:$N$241)</f>
        <v>0</v>
      </c>
      <c r="P39" s="13">
        <f>SUMIF(Mercado_Receita!$T$2:$T$241,"44593B4Energia convencionalIluminação públicaIluminação pública – B4bNão se aplicaNão se aplicaNão se aplica",Mercado_Receita!$N$2:$N$241)</f>
        <v>0</v>
      </c>
      <c r="Q39" s="13">
        <f>SUMIF(Mercado_Receita!$T$2:$T$241,"44621B4Energia convencionalIluminação públicaIluminação pública – B4bNão se aplicaNão se aplicaNão se aplica",Mercado_Receita!$N$2:$N$241)</f>
        <v>0</v>
      </c>
      <c r="R39" s="13">
        <f>SUMIF(Mercado_Receita!$T$2:$T$241,"44652B4Energia convencionalIluminação públicaIluminação pública – B4bNão se aplicaNão se aplicaNão se aplica",Mercado_Receita!$N$2:$N$241)</f>
        <v>0</v>
      </c>
      <c r="S39" s="13">
        <f>SUMIF(Mercado_Receita!$T$2:$T$241,"44682B4Energia convencionalIluminação públicaIluminação pública – B4bNão se aplicaNão se aplicaNão se aplica",Mercado_Receita!$N$2:$N$241)</f>
        <v>0</v>
      </c>
      <c r="T39" s="13">
        <f>SUMIF(Mercado_Receita!$T$2:$T$241,"44713B4Energia convencionalIluminação públicaIluminação pública – B4bNão se aplicaNão se aplicaNão se aplica",Mercado_Receita!$N$2:$N$241)</f>
        <v>0</v>
      </c>
      <c r="U39" s="13">
        <f t="shared" si="0"/>
        <v>0</v>
      </c>
      <c r="V39" s="13"/>
      <c r="W39" s="13"/>
    </row>
    <row r="40" spans="1:23" ht="11.25" customHeight="1" x14ac:dyDescent="0.25">
      <c r="A40" s="89" t="s">
        <v>398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13"/>
      <c r="W40" s="13"/>
    </row>
  </sheetData>
  <mergeCells count="44">
    <mergeCell ref="A2:A4"/>
    <mergeCell ref="F2:F3"/>
    <mergeCell ref="E2:E3"/>
    <mergeCell ref="D2:D3"/>
    <mergeCell ref="C2:C3"/>
    <mergeCell ref="B2:B3"/>
    <mergeCell ref="C13:C17"/>
    <mergeCell ref="B13:B17"/>
    <mergeCell ref="A5:A17"/>
    <mergeCell ref="F18:F20"/>
    <mergeCell ref="E18:E20"/>
    <mergeCell ref="D18:D20"/>
    <mergeCell ref="C18:C20"/>
    <mergeCell ref="B18:B20"/>
    <mergeCell ref="F5:F7"/>
    <mergeCell ref="E5:E7"/>
    <mergeCell ref="D5:D7"/>
    <mergeCell ref="C5:C7"/>
    <mergeCell ref="B5:B7"/>
    <mergeCell ref="C8:C12"/>
    <mergeCell ref="B8:B12"/>
    <mergeCell ref="C22:C24"/>
    <mergeCell ref="B22:B24"/>
    <mergeCell ref="F26:F28"/>
    <mergeCell ref="E26:E28"/>
    <mergeCell ref="D26:D28"/>
    <mergeCell ref="C26:C28"/>
    <mergeCell ref="B26:B28"/>
    <mergeCell ref="A38:A39"/>
    <mergeCell ref="B38:B39"/>
    <mergeCell ref="C38:C39"/>
    <mergeCell ref="A40:U40"/>
    <mergeCell ref="C30:C32"/>
    <mergeCell ref="B30:B32"/>
    <mergeCell ref="A18:A32"/>
    <mergeCell ref="F33:F35"/>
    <mergeCell ref="E33:E35"/>
    <mergeCell ref="D33:D35"/>
    <mergeCell ref="C33:C35"/>
    <mergeCell ref="B33:B35"/>
    <mergeCell ref="A33:A37"/>
    <mergeCell ref="F22:F24"/>
    <mergeCell ref="E22:E24"/>
    <mergeCell ref="D22:D2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8AC5-DA99-422B-85F5-917BC174C47E}">
  <dimension ref="A1:AD200"/>
  <sheetViews>
    <sheetView showGridLines="0" topLeftCell="A35" workbookViewId="0">
      <selection activeCell="X3" sqref="X3"/>
    </sheetView>
  </sheetViews>
  <sheetFormatPr defaultRowHeight="12" customHeight="1" x14ac:dyDescent="0.2"/>
  <cols>
    <col min="1" max="1" width="10.5703125" style="14" bestFit="1" customWidth="1"/>
    <col min="2" max="2" width="14.42578125" style="14" bestFit="1" customWidth="1"/>
    <col min="3" max="3" width="18.42578125" style="14" bestFit="1" customWidth="1"/>
    <col min="4" max="4" width="15" style="14" bestFit="1" customWidth="1"/>
    <col min="5" max="5" width="14.5703125" style="14" bestFit="1" customWidth="1"/>
    <col min="6" max="6" width="4.42578125" style="14" bestFit="1" customWidth="1"/>
    <col min="7" max="11" width="9.140625" style="14"/>
    <col min="12" max="12" width="34.140625" style="14" bestFit="1" customWidth="1"/>
    <col min="13" max="13" width="10" style="14" bestFit="1" customWidth="1"/>
    <col min="14" max="14" width="9.140625" style="14"/>
    <col min="15" max="15" width="30.7109375" style="14" customWidth="1"/>
    <col min="16" max="16" width="13.140625" style="14" bestFit="1" customWidth="1"/>
    <col min="17" max="25" width="9.140625" style="14"/>
    <col min="26" max="26" width="12" style="14" customWidth="1"/>
    <col min="27" max="16384" width="9.140625" style="14"/>
  </cols>
  <sheetData>
    <row r="1" spans="1:30" ht="12" customHeight="1" x14ac:dyDescent="0.2">
      <c r="A1" s="10" t="s">
        <v>438</v>
      </c>
      <c r="B1" s="10" t="s">
        <v>439</v>
      </c>
      <c r="C1" s="10" t="s">
        <v>440</v>
      </c>
      <c r="D1" s="10" t="s">
        <v>441</v>
      </c>
      <c r="E1" s="10" t="s">
        <v>442</v>
      </c>
      <c r="F1" s="10" t="s">
        <v>443</v>
      </c>
      <c r="G1" s="7"/>
      <c r="H1" s="7"/>
      <c r="I1" s="7"/>
      <c r="J1" s="7"/>
      <c r="K1" s="7"/>
      <c r="L1" s="95" t="s">
        <v>444</v>
      </c>
      <c r="M1" s="100"/>
      <c r="N1" s="7"/>
      <c r="O1" s="95" t="s">
        <v>531</v>
      </c>
      <c r="P1" s="96"/>
      <c r="Q1" s="96"/>
      <c r="R1" s="96"/>
      <c r="S1" s="96"/>
      <c r="T1" s="96"/>
      <c r="U1" s="96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91" t="s">
        <v>399</v>
      </c>
      <c r="B2" s="91" t="s">
        <v>400</v>
      </c>
      <c r="C2" s="16" t="s">
        <v>485</v>
      </c>
      <c r="D2" s="13">
        <v>0</v>
      </c>
      <c r="E2" s="13">
        <v>0</v>
      </c>
      <c r="F2" s="13">
        <v>0</v>
      </c>
      <c r="G2" s="15"/>
      <c r="H2" s="15"/>
      <c r="I2" s="15"/>
      <c r="J2" s="15"/>
      <c r="K2" s="15"/>
      <c r="L2" s="13" t="s">
        <v>445</v>
      </c>
      <c r="M2" s="17">
        <v>0.1605</v>
      </c>
      <c r="N2" s="15"/>
      <c r="O2" s="34" t="s">
        <v>532</v>
      </c>
      <c r="P2" s="34" t="s">
        <v>533</v>
      </c>
      <c r="Q2" s="34" t="s">
        <v>534</v>
      </c>
      <c r="R2" s="34" t="s">
        <v>39</v>
      </c>
      <c r="S2" s="34" t="s">
        <v>535</v>
      </c>
      <c r="T2" s="34" t="s">
        <v>77</v>
      </c>
      <c r="U2" s="34"/>
      <c r="V2" s="15"/>
      <c r="W2" s="15"/>
      <c r="X2" s="13" t="s">
        <v>498</v>
      </c>
      <c r="Y2" s="15"/>
      <c r="Z2" s="15"/>
      <c r="AA2" s="15" t="s">
        <v>543</v>
      </c>
      <c r="AB2" s="15"/>
      <c r="AC2" s="15"/>
      <c r="AD2" s="15"/>
    </row>
    <row r="3" spans="1:30" ht="12" customHeight="1" x14ac:dyDescent="0.2">
      <c r="A3" s="101"/>
      <c r="B3" s="101"/>
      <c r="C3" s="16" t="s">
        <v>401</v>
      </c>
      <c r="D3" s="13">
        <v>42024.992316025076</v>
      </c>
      <c r="E3" s="13">
        <v>1320.0697366684942</v>
      </c>
      <c r="F3" s="13">
        <v>0</v>
      </c>
      <c r="G3" s="15"/>
      <c r="H3" s="15"/>
      <c r="I3" s="15"/>
      <c r="J3" s="15"/>
      <c r="K3" s="15"/>
      <c r="L3" s="13" t="s">
        <v>446</v>
      </c>
      <c r="M3" s="17"/>
      <c r="N3" s="15"/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 t="s">
        <v>536</v>
      </c>
      <c r="V3" s="15"/>
      <c r="W3" s="15"/>
      <c r="X3" s="13" t="s">
        <v>499</v>
      </c>
      <c r="Y3" s="15"/>
      <c r="Z3" s="15"/>
      <c r="AA3" s="15">
        <v>0</v>
      </c>
      <c r="AB3" s="15"/>
      <c r="AC3" s="15"/>
      <c r="AD3" s="15"/>
    </row>
    <row r="4" spans="1:30" ht="12" customHeight="1" x14ac:dyDescent="0.2">
      <c r="A4" s="101"/>
      <c r="B4" s="101"/>
      <c r="C4" s="16" t="s">
        <v>402</v>
      </c>
      <c r="D4" s="13">
        <f>$M$22-D$30</f>
        <v>0</v>
      </c>
      <c r="E4" s="13">
        <f>IF((D4+D$30)&lt;&gt;0,$M$20*D4/(D4+D$30),0)</f>
        <v>0</v>
      </c>
      <c r="F4" s="13">
        <f>IF((D4+D$30)&lt;&gt;0,$M$21*D4/(D4+D$30),0)</f>
        <v>0</v>
      </c>
      <c r="G4" s="15"/>
      <c r="H4" s="15"/>
      <c r="I4" s="15"/>
      <c r="J4" s="15"/>
      <c r="K4" s="15"/>
      <c r="L4" s="13" t="s">
        <v>447</v>
      </c>
      <c r="M4" s="17">
        <v>0.10704236088323049</v>
      </c>
      <c r="N4" s="15"/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 t="s">
        <v>76</v>
      </c>
      <c r="V4" s="15"/>
      <c r="W4" s="15"/>
      <c r="X4" s="15"/>
      <c r="Y4" s="15"/>
      <c r="Z4" s="15"/>
      <c r="AA4" s="15"/>
      <c r="AB4" s="15"/>
      <c r="AC4" s="15"/>
      <c r="AD4" s="15"/>
    </row>
    <row r="5" spans="1:30" ht="12" customHeight="1" x14ac:dyDescent="0.2">
      <c r="A5" s="101"/>
      <c r="B5" s="101"/>
      <c r="C5" s="16" t="s">
        <v>403</v>
      </c>
      <c r="D5" s="13">
        <v>0</v>
      </c>
      <c r="E5" s="13"/>
      <c r="F5" s="13"/>
      <c r="G5" s="15"/>
      <c r="H5" s="15"/>
      <c r="I5" s="15"/>
      <c r="J5" s="15"/>
      <c r="K5" s="15"/>
      <c r="L5" s="13" t="s">
        <v>448</v>
      </c>
      <c r="M5" s="17">
        <v>1E-14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2" customHeight="1" x14ac:dyDescent="0.2">
      <c r="A6" s="101"/>
      <c r="B6" s="101"/>
      <c r="C6" s="16" t="s">
        <v>404</v>
      </c>
      <c r="D6" s="13">
        <v>0</v>
      </c>
      <c r="E6" s="13">
        <v>0</v>
      </c>
      <c r="F6" s="13">
        <v>0</v>
      </c>
      <c r="G6" s="15"/>
      <c r="H6" s="15"/>
      <c r="I6" s="15"/>
      <c r="J6" s="15"/>
      <c r="K6" s="15"/>
      <c r="L6" s="13" t="s">
        <v>449</v>
      </c>
      <c r="M6" s="17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2" customHeight="1" x14ac:dyDescent="0.2">
      <c r="A7" s="101"/>
      <c r="B7" s="101"/>
      <c r="C7" s="16" t="s">
        <v>405</v>
      </c>
      <c r="D7" s="13">
        <v>1389890.3980500002</v>
      </c>
      <c r="E7" s="13">
        <v>43111.948945576783</v>
      </c>
      <c r="F7" s="13">
        <v>0</v>
      </c>
      <c r="G7" s="15"/>
      <c r="H7" s="15"/>
      <c r="I7" s="15"/>
      <c r="J7" s="15"/>
      <c r="K7" s="15"/>
      <c r="L7" s="13" t="s">
        <v>450</v>
      </c>
      <c r="M7" s="13">
        <f>M8+M9+M10+M11</f>
        <v>3157.7538669999999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2" customHeight="1" x14ac:dyDescent="0.2">
      <c r="A8" s="101"/>
      <c r="B8" s="101"/>
      <c r="C8" s="16" t="s">
        <v>406</v>
      </c>
      <c r="D8" s="13">
        <v>222749.78508000006</v>
      </c>
      <c r="E8" s="13">
        <v>6031.9928132301266</v>
      </c>
      <c r="F8" s="13">
        <v>0</v>
      </c>
      <c r="G8" s="15"/>
      <c r="H8" s="15"/>
      <c r="I8" s="15"/>
      <c r="J8" s="15"/>
      <c r="K8" s="15"/>
      <c r="L8" s="18" t="s">
        <v>451</v>
      </c>
      <c r="M8" s="13">
        <v>3157.7538669999999</v>
      </c>
      <c r="N8" s="15"/>
      <c r="O8" s="13" t="s">
        <v>484</v>
      </c>
      <c r="P8" s="22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101"/>
      <c r="B9" s="101"/>
      <c r="C9" s="16" t="s">
        <v>407</v>
      </c>
      <c r="D9" s="13"/>
      <c r="E9" s="13"/>
      <c r="F9" s="13"/>
      <c r="G9" s="15"/>
      <c r="H9" s="15"/>
      <c r="I9" s="15"/>
      <c r="J9" s="15"/>
      <c r="K9" s="15"/>
      <c r="L9" s="19" t="s">
        <v>452</v>
      </c>
      <c r="M9" s="13">
        <v>0</v>
      </c>
      <c r="N9" s="15"/>
      <c r="O9" s="13" t="s">
        <v>489</v>
      </c>
      <c r="P9" s="22">
        <f>SUM(Mercado_Receita!$J$2:$J$241)</f>
        <v>6377</v>
      </c>
      <c r="Q9" s="22">
        <v>6377</v>
      </c>
      <c r="R9" s="22" t="str">
        <f>IF(ABS(P9-Q9)&gt;1,"ERRO BADNET","OK BADNET")</f>
        <v>OK BADNET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2" customHeight="1" x14ac:dyDescent="0.2">
      <c r="A10" s="101"/>
      <c r="B10" s="92"/>
      <c r="C10" s="16" t="s">
        <v>408</v>
      </c>
      <c r="D10" s="13">
        <f>SUM(D$2:D9)</f>
        <v>1654665.1754460253</v>
      </c>
      <c r="E10" s="13">
        <f>SUM(E$2:E9)</f>
        <v>50464.011495475403</v>
      </c>
      <c r="F10" s="13">
        <f>SUM(F$2:F9)</f>
        <v>0</v>
      </c>
      <c r="G10" s="15"/>
      <c r="H10" s="15"/>
      <c r="I10" s="15"/>
      <c r="J10" s="15"/>
      <c r="K10" s="15"/>
      <c r="L10" s="18" t="s">
        <v>453</v>
      </c>
      <c r="M10" s="13">
        <v>0</v>
      </c>
      <c r="N10" s="15"/>
      <c r="O10" s="13" t="s">
        <v>490</v>
      </c>
      <c r="P10" s="22">
        <f>SUM(Mercado_Receita!$L$2:$L$241)</f>
        <v>16377.067999999994</v>
      </c>
      <c r="Q10" s="22">
        <v>16377.067999999999</v>
      </c>
      <c r="R10" s="22" t="str">
        <f>IF(ABS(P10-Q10)&gt;1,"ERRO BADNET","OK BADNET")</f>
        <v>OK BADNET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2" customHeight="1" x14ac:dyDescent="0.2">
      <c r="A11" s="101"/>
      <c r="B11" s="91" t="s">
        <v>409</v>
      </c>
      <c r="C11" s="16" t="s">
        <v>410</v>
      </c>
      <c r="D11" s="13">
        <v>0</v>
      </c>
      <c r="E11" s="13">
        <v>0</v>
      </c>
      <c r="F11" s="13">
        <f>IF((+$D$11+$D$12+$D$16+$D$17+$D$39)&lt;&gt;0,$M$19*$D$11/(+$D$11+$D$12+$D$16+$D$17+$D$39),0)</f>
        <v>0</v>
      </c>
      <c r="G11" s="15"/>
      <c r="H11" s="15"/>
      <c r="I11" s="15"/>
      <c r="J11" s="15"/>
      <c r="K11" s="15"/>
      <c r="L11" s="18" t="s">
        <v>454</v>
      </c>
      <c r="M11" s="13">
        <v>0</v>
      </c>
      <c r="N11" s="15"/>
      <c r="O11" s="13" t="s">
        <v>491</v>
      </c>
      <c r="P11" s="22">
        <f>SUM(Mercado_Receita!$N$2:$N$241)</f>
        <v>16377.067999999994</v>
      </c>
      <c r="Q11" s="22">
        <v>16377.067999999999</v>
      </c>
      <c r="R11" s="22" t="str">
        <f>IF(ABS(P11-Q11)&gt;1,"ERRO BADNET","OK BADNET")</f>
        <v>OK BADNET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2" customHeight="1" x14ac:dyDescent="0.2">
      <c r="A12" s="101"/>
      <c r="B12" s="101"/>
      <c r="C12" s="16" t="s">
        <v>411</v>
      </c>
      <c r="D12" s="13">
        <v>0</v>
      </c>
      <c r="E12" s="13">
        <v>0</v>
      </c>
      <c r="F12" s="13">
        <f>IF((+$D$11+$D$12+$D$16+$D$17+$D$39)&lt;&gt;0,$M$19*$D$12/(+$D$11+$D$12+$D$16+$D$17+$D$39),0)</f>
        <v>0</v>
      </c>
      <c r="G12" s="15"/>
      <c r="H12" s="15"/>
      <c r="I12" s="15"/>
      <c r="J12" s="15"/>
      <c r="K12" s="15"/>
      <c r="L12" s="13" t="s">
        <v>455</v>
      </c>
      <c r="M12" s="13">
        <v>19534.821867000002</v>
      </c>
      <c r="N12" s="15"/>
      <c r="O12" s="13" t="s">
        <v>492</v>
      </c>
      <c r="P12" s="22">
        <f>SUMIF('MERCADO TUSD'!$H$2:$H$48,"kW",'MERCADO TUSD'!$U$2:$U$48)</f>
        <v>6377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2" customHeight="1" x14ac:dyDescent="0.2">
      <c r="A13" s="101"/>
      <c r="B13" s="101"/>
      <c r="C13" s="16" t="s">
        <v>412</v>
      </c>
      <c r="D13" s="13">
        <f>-$M$51+0</f>
        <v>0</v>
      </c>
      <c r="E13" s="13"/>
      <c r="F13" s="13"/>
      <c r="G13" s="15"/>
      <c r="H13" s="15"/>
      <c r="I13" s="15"/>
      <c r="J13" s="15"/>
      <c r="K13" s="15"/>
      <c r="L13" s="13" t="s">
        <v>456</v>
      </c>
      <c r="M13" s="13">
        <v>293.256159697513</v>
      </c>
      <c r="N13" s="15"/>
      <c r="O13" s="13" t="s">
        <v>493</v>
      </c>
      <c r="P13" s="22">
        <f>SUMIF('MERCADO TUSD'!$H$2:$H$48,"MWh",'MERCADO TUSD'!$U$2:$U$48)</f>
        <v>16377.068000000001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2" customHeight="1" x14ac:dyDescent="0.2">
      <c r="A14" s="101"/>
      <c r="B14" s="101"/>
      <c r="C14" s="16" t="s">
        <v>413</v>
      </c>
      <c r="D14" s="13"/>
      <c r="E14" s="13"/>
      <c r="F14" s="13"/>
      <c r="G14" s="15"/>
      <c r="H14" s="15"/>
      <c r="I14" s="15"/>
      <c r="J14" s="15"/>
      <c r="K14" s="15"/>
      <c r="L14" s="13" t="s">
        <v>457</v>
      </c>
      <c r="M14" s="13">
        <v>117.14808864158792</v>
      </c>
      <c r="N14" s="15"/>
      <c r="O14" s="13" t="s">
        <v>494</v>
      </c>
      <c r="P14" s="22">
        <f>SUMIF('MERCADO TE'!$H$2:$H$39,"MWh",'MERCADO TE'!$U$2:$U$39)</f>
        <v>16377.068000000001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" customHeight="1" x14ac:dyDescent="0.2">
      <c r="A15" s="101"/>
      <c r="B15" s="101"/>
      <c r="C15" s="16" t="s">
        <v>414</v>
      </c>
      <c r="D15" s="13">
        <v>2300281.9677699995</v>
      </c>
      <c r="E15" s="13">
        <v>-72221.181788456161</v>
      </c>
      <c r="F15" s="13">
        <v>0</v>
      </c>
      <c r="G15" s="15"/>
      <c r="H15" s="15"/>
      <c r="I15" s="15"/>
      <c r="J15" s="15"/>
      <c r="K15" s="15"/>
      <c r="L15" s="13" t="s">
        <v>458</v>
      </c>
      <c r="M15" s="13">
        <f>M14*M12</f>
        <v>2288467.0436729463</v>
      </c>
      <c r="N15" s="15"/>
      <c r="O15" s="13" t="s">
        <v>495</v>
      </c>
      <c r="P15" s="22" t="str">
        <f>IF(ABS(P9-P12)&gt;1,"ERRO","OK")</f>
        <v>OK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2" customHeight="1" x14ac:dyDescent="0.2">
      <c r="A16" s="101"/>
      <c r="B16" s="101"/>
      <c r="C16" s="16" t="s">
        <v>415</v>
      </c>
      <c r="D16" s="13">
        <v>0</v>
      </c>
      <c r="E16" s="13"/>
      <c r="F16" s="13">
        <f>IF((+$D$11+$D$12+$D$16+$D$17+$D$39)&lt;&gt;0,$M$19*$D$16/(+$D$11+$D$12+$D$16+$D$17+$D$39),0)</f>
        <v>0</v>
      </c>
      <c r="G16" s="15"/>
      <c r="H16" s="15"/>
      <c r="I16" s="15"/>
      <c r="J16" s="15"/>
      <c r="K16" s="15"/>
      <c r="L16" s="13" t="s">
        <v>459</v>
      </c>
      <c r="M16" s="13">
        <v>-12041.280540196225</v>
      </c>
      <c r="N16" s="15"/>
      <c r="O16" s="13" t="s">
        <v>496</v>
      </c>
      <c r="P16" s="22" t="str">
        <f>IF(ABS(P10-P13)&gt;1,"ERRO","OK")</f>
        <v>OK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2" customHeight="1" x14ac:dyDescent="0.2">
      <c r="A17" s="101"/>
      <c r="B17" s="101"/>
      <c r="C17" s="16" t="s">
        <v>416</v>
      </c>
      <c r="D17" s="13">
        <v>0</v>
      </c>
      <c r="E17" s="13"/>
      <c r="F17" s="13">
        <f>IF((+$D$11+$D$12+$D$16+$D$17+$D$39)&lt;&gt;0,$M$19*$D$17/(+$D$11+$D$12+$D$16+$D$17+$D$39),0)</f>
        <v>0</v>
      </c>
      <c r="G17" s="15"/>
      <c r="H17" s="15"/>
      <c r="I17" s="15"/>
      <c r="J17" s="15"/>
      <c r="K17" s="15"/>
      <c r="L17" s="13" t="s">
        <v>460</v>
      </c>
      <c r="M17" s="13">
        <v>0</v>
      </c>
      <c r="N17" s="15"/>
      <c r="O17" s="13" t="s">
        <v>497</v>
      </c>
      <c r="P17" s="22" t="str">
        <f>IF(ABS(P11-P14)&gt;1,"ERRO","OK")</f>
        <v>OK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2" customHeight="1" x14ac:dyDescent="0.2">
      <c r="A18" s="101"/>
      <c r="B18" s="92"/>
      <c r="C18" s="16" t="s">
        <v>408</v>
      </c>
      <c r="D18" s="13">
        <f>SUM(D$11:D17)</f>
        <v>2300281.9677699995</v>
      </c>
      <c r="E18" s="13">
        <f>SUM(E$11:E17)</f>
        <v>-72221.181788456161</v>
      </c>
      <c r="F18" s="13">
        <f>SUM(F$11:F17)</f>
        <v>0</v>
      </c>
      <c r="G18" s="15"/>
      <c r="H18" s="15"/>
      <c r="I18" s="15"/>
      <c r="J18" s="15"/>
      <c r="K18" s="15"/>
      <c r="L18" s="13" t="s">
        <v>461</v>
      </c>
      <c r="M18" s="13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2" customHeight="1" x14ac:dyDescent="0.2">
      <c r="A19" s="101"/>
      <c r="B19" s="91" t="s">
        <v>417</v>
      </c>
      <c r="C19" s="16" t="s">
        <v>418</v>
      </c>
      <c r="D19" s="13">
        <v>8886696.2552139182</v>
      </c>
      <c r="E19" s="13">
        <v>-2630709.1586146285</v>
      </c>
      <c r="F19" s="13">
        <v>0</v>
      </c>
      <c r="G19" s="15"/>
      <c r="H19" s="15"/>
      <c r="I19" s="15"/>
      <c r="J19" s="15"/>
      <c r="K19" s="15"/>
      <c r="L19" s="13" t="s">
        <v>462</v>
      </c>
      <c r="M19" s="13"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2" customHeight="1" x14ac:dyDescent="0.2">
      <c r="A20" s="101"/>
      <c r="B20" s="92"/>
      <c r="C20" s="16" t="s">
        <v>408</v>
      </c>
      <c r="D20" s="13">
        <f>SUM(D$19:D19)</f>
        <v>8886696.2552139182</v>
      </c>
      <c r="E20" s="13">
        <f>SUM(E$19:E19)</f>
        <v>-2630709.1586146285</v>
      </c>
      <c r="F20" s="13">
        <f>SUM(F$19:F19)</f>
        <v>0</v>
      </c>
      <c r="G20" s="15"/>
      <c r="H20" s="15"/>
      <c r="I20" s="15"/>
      <c r="J20" s="15"/>
      <c r="K20" s="15"/>
      <c r="L20" s="13" t="s">
        <v>463</v>
      </c>
      <c r="M20" s="13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2" customHeight="1" x14ac:dyDescent="0.2">
      <c r="A21" s="101"/>
      <c r="B21" s="91" t="s">
        <v>419</v>
      </c>
      <c r="C21" s="16" t="s">
        <v>420</v>
      </c>
      <c r="D21" s="13"/>
      <c r="E21" s="13">
        <f>IF($D$47&lt;&gt;0,(1-$D$46/$D$47)*-216318.952009952,0)+0</f>
        <v>-188889.07681808999</v>
      </c>
      <c r="F21" s="13"/>
      <c r="G21" s="15"/>
      <c r="H21" s="15"/>
      <c r="I21" s="15"/>
      <c r="J21" s="15"/>
      <c r="K21" s="15"/>
      <c r="L21" s="13" t="s">
        <v>464</v>
      </c>
      <c r="M21" s="13"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2" customHeight="1" x14ac:dyDescent="0.2">
      <c r="A22" s="101"/>
      <c r="B22" s="101"/>
      <c r="C22" s="16" t="s">
        <v>421</v>
      </c>
      <c r="D22" s="13"/>
      <c r="E22" s="13"/>
      <c r="F22" s="13"/>
      <c r="G22" s="15"/>
      <c r="H22" s="15"/>
      <c r="I22" s="15"/>
      <c r="J22" s="15"/>
      <c r="K22" s="15"/>
      <c r="L22" s="13" t="s">
        <v>486</v>
      </c>
      <c r="M22" s="13"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2" customHeight="1" x14ac:dyDescent="0.2">
      <c r="A23" s="101"/>
      <c r="B23" s="92"/>
      <c r="C23" s="16" t="s">
        <v>408</v>
      </c>
      <c r="D23" s="13">
        <f>SUM(D$21:D22)</f>
        <v>0</v>
      </c>
      <c r="E23" s="13">
        <f>SUM(E$21:E22)</f>
        <v>-188889.07681808999</v>
      </c>
      <c r="F23" s="13">
        <f>SUM(F$21:F22)</f>
        <v>0</v>
      </c>
      <c r="G23" s="15"/>
      <c r="H23" s="15"/>
      <c r="I23" s="15"/>
      <c r="J23" s="15"/>
      <c r="K23" s="15"/>
      <c r="L23" s="13" t="s">
        <v>465</v>
      </c>
      <c r="M23" s="13">
        <v>22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2" customHeight="1" x14ac:dyDescent="0.2">
      <c r="A24" s="101"/>
      <c r="B24" s="91" t="s">
        <v>422</v>
      </c>
      <c r="C24" s="16" t="s">
        <v>423</v>
      </c>
      <c r="D24" s="13">
        <f>$M$14*$M$8</f>
        <v>369924.82991963299</v>
      </c>
      <c r="E24" s="13">
        <f>$M$16*$M$8/$M$12</f>
        <v>-1946.4421251605609</v>
      </c>
      <c r="F24" s="13">
        <f>$M$17*$M$8/$M$12</f>
        <v>0</v>
      </c>
      <c r="G24" s="15"/>
      <c r="H24" s="15"/>
      <c r="I24" s="15"/>
      <c r="J24" s="15"/>
      <c r="K24" s="15"/>
      <c r="L24" s="13" t="s">
        <v>466</v>
      </c>
      <c r="M24" s="13"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2" customHeight="1" x14ac:dyDescent="0.2">
      <c r="A25" s="101"/>
      <c r="B25" s="101"/>
      <c r="C25" s="16" t="s">
        <v>424</v>
      </c>
      <c r="D25" s="13">
        <f>$M$14*$M$10</f>
        <v>0</v>
      </c>
      <c r="E25" s="13">
        <f>$M$16*$M$10/$M$12</f>
        <v>0</v>
      </c>
      <c r="F25" s="13">
        <f>$M$17*$M$10/$M$12</f>
        <v>0</v>
      </c>
      <c r="G25" s="15"/>
      <c r="H25" s="15"/>
      <c r="I25" s="15"/>
      <c r="J25" s="15"/>
      <c r="K25" s="15"/>
      <c r="L25" s="13" t="s">
        <v>467</v>
      </c>
      <c r="M25" s="13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2" customHeight="1" x14ac:dyDescent="0.2">
      <c r="A26" s="101"/>
      <c r="B26" s="101"/>
      <c r="C26" s="16" t="s">
        <v>425</v>
      </c>
      <c r="D26" s="13">
        <f>$M$14*$M$9</f>
        <v>0</v>
      </c>
      <c r="E26" s="13">
        <f>$M$16*$M$9/$M$12</f>
        <v>0</v>
      </c>
      <c r="F26" s="13">
        <f>$M$17*$M$9/$M$12</f>
        <v>0</v>
      </c>
      <c r="G26" s="15"/>
      <c r="H26" s="15"/>
      <c r="I26" s="15"/>
      <c r="J26" s="15"/>
      <c r="K26" s="15"/>
      <c r="L26" s="13" t="s">
        <v>468</v>
      </c>
      <c r="M26" s="13"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2" customHeight="1" x14ac:dyDescent="0.2">
      <c r="A27" s="101"/>
      <c r="B27" s="101"/>
      <c r="C27" s="16" t="s">
        <v>426</v>
      </c>
      <c r="D27" s="13"/>
      <c r="E27" s="13"/>
      <c r="F27" s="13"/>
      <c r="G27" s="15"/>
      <c r="H27" s="15"/>
      <c r="I27" s="15"/>
      <c r="J27" s="15"/>
      <c r="K27" s="15"/>
      <c r="L27" s="13" t="s">
        <v>469</v>
      </c>
      <c r="M27" s="13">
        <v>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2" customHeight="1" x14ac:dyDescent="0.2">
      <c r="A28" s="101"/>
      <c r="B28" s="92"/>
      <c r="C28" s="16" t="s">
        <v>408</v>
      </c>
      <c r="D28" s="13">
        <f>SUM(D$24:D27)</f>
        <v>369924.82991963299</v>
      </c>
      <c r="E28" s="13">
        <f>SUM(E$24:E27)</f>
        <v>-1946.4421251605609</v>
      </c>
      <c r="F28" s="13">
        <f>SUM(F$24:F27)</f>
        <v>0</v>
      </c>
      <c r="G28" s="15"/>
      <c r="H28" s="15"/>
      <c r="I28" s="15"/>
      <c r="J28" s="15"/>
      <c r="K28" s="15"/>
      <c r="L28" s="13" t="s">
        <v>470</v>
      </c>
      <c r="M28" s="13"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2" customHeight="1" x14ac:dyDescent="0.2">
      <c r="A29" s="92"/>
      <c r="B29" s="93" t="s">
        <v>408</v>
      </c>
      <c r="C29" s="94"/>
      <c r="D29" s="13">
        <f>SUMIF(C$2:C28,"SUBTOTAL",D$2:D28)</f>
        <v>13211568.228349576</v>
      </c>
      <c r="E29" s="13">
        <f>SUMIF(C$2:C28,"SUBTOTAL",E$2:E28)</f>
        <v>-2843301.8478508601</v>
      </c>
      <c r="F29" s="13">
        <f>SUMIF(C$2:C28,"SUBTOTAL",F$2:F28)</f>
        <v>0</v>
      </c>
      <c r="G29" s="15"/>
      <c r="H29" s="15"/>
      <c r="I29" s="15"/>
      <c r="J29" s="15"/>
      <c r="K29" s="15"/>
      <c r="L29" s="13" t="s">
        <v>471</v>
      </c>
      <c r="M29" s="13"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2" customHeight="1" x14ac:dyDescent="0.2">
      <c r="A30" s="91" t="s">
        <v>427</v>
      </c>
      <c r="B30" s="91" t="s">
        <v>400</v>
      </c>
      <c r="C30" s="16" t="s">
        <v>402</v>
      </c>
      <c r="D30" s="13">
        <f>IFERROR($M$5*(+D$31+D$32+D$33+D$34+D$36+D$38+D$39+D$40+D$44)+($M$5^2)*(+D$31+D$32+D$33+D$34+D$36+D$38+D$39+D$40+D$44)/$M$22*(+$E$2+$F$2+$E$3+$F$3+$E$8+$F$8+$E$9+$F$9+$E$11+$F$11+$E$12+$F$12+$E$13+$F$13+$E$14+$F$14+$E$15+$F$15+$E$16+$F$16+$E$17+$F$17+$E$19+$F$19+$E$22+$F$22+$E$24+$F$24+$E$25+$F$25+$E$26+$F$26+$E$27+$F$27+$E$31+$F$31+$E$32+$F$32+$E$33+$F$33+$E$34+$F$34+$E$36+$F$36+$E$38+$F$38+$E$39+$F$39+$E$40+$F$40+$E$44+$F$44),0)</f>
        <v>0</v>
      </c>
      <c r="E30" s="13">
        <f>IF((D30+D$4)&lt;&gt;0,$M$20*D30/(D30+D$4),0)</f>
        <v>0</v>
      </c>
      <c r="F30" s="13">
        <f>IF((D30+D$4)&lt;&gt;0,$M$21*D30/(D30+D$4),0)</f>
        <v>0</v>
      </c>
      <c r="G30" s="15"/>
      <c r="H30" s="15"/>
      <c r="I30" s="15"/>
      <c r="J30" s="15"/>
      <c r="K30" s="15"/>
      <c r="L30" s="13" t="s">
        <v>472</v>
      </c>
      <c r="M30" s="13"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2" customHeight="1" x14ac:dyDescent="0.2">
      <c r="A31" s="101"/>
      <c r="B31" s="101"/>
      <c r="C31" s="16" t="s">
        <v>428</v>
      </c>
      <c r="D31" s="13">
        <v>0</v>
      </c>
      <c r="E31" s="13">
        <v>0</v>
      </c>
      <c r="F31" s="13">
        <v>0</v>
      </c>
      <c r="G31" s="15"/>
      <c r="H31" s="15"/>
      <c r="I31" s="15"/>
      <c r="J31" s="15"/>
      <c r="K31" s="15"/>
      <c r="L31" s="13" t="s">
        <v>473</v>
      </c>
      <c r="M31" s="13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2" customHeight="1" x14ac:dyDescent="0.2">
      <c r="A32" s="101"/>
      <c r="B32" s="101"/>
      <c r="C32" s="16" t="s">
        <v>429</v>
      </c>
      <c r="D32" s="13">
        <v>0</v>
      </c>
      <c r="E32" s="13">
        <v>0</v>
      </c>
      <c r="F32" s="13">
        <v>0</v>
      </c>
      <c r="G32" s="15"/>
      <c r="H32" s="15"/>
      <c r="I32" s="15"/>
      <c r="J32" s="15"/>
      <c r="K32" s="15"/>
      <c r="L32" s="13" t="s">
        <v>474</v>
      </c>
      <c r="M32" s="13">
        <v>0.45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2" customHeight="1" x14ac:dyDescent="0.2">
      <c r="A33" s="101"/>
      <c r="B33" s="101"/>
      <c r="C33" s="16" t="s">
        <v>488</v>
      </c>
      <c r="D33" s="13"/>
      <c r="E33" s="13">
        <v>0</v>
      </c>
      <c r="F33" s="13">
        <v>0</v>
      </c>
      <c r="G33" s="15"/>
      <c r="H33" s="15"/>
      <c r="I33" s="15"/>
      <c r="J33" s="15"/>
      <c r="K33" s="15"/>
      <c r="L33" s="13" t="s">
        <v>475</v>
      </c>
      <c r="M33" s="13">
        <v>0.4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2" customHeight="1" x14ac:dyDescent="0.2">
      <c r="A34" s="101"/>
      <c r="B34" s="101"/>
      <c r="C34" s="16" t="s">
        <v>430</v>
      </c>
      <c r="D34" s="13">
        <v>0</v>
      </c>
      <c r="E34" s="13">
        <v>0</v>
      </c>
      <c r="F34" s="13">
        <v>0</v>
      </c>
      <c r="G34" s="15"/>
      <c r="H34" s="15"/>
      <c r="I34" s="15"/>
      <c r="J34" s="15"/>
      <c r="K34" s="15"/>
      <c r="L34" s="13" t="s">
        <v>476</v>
      </c>
      <c r="M34" s="13">
        <v>0.65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2" customHeight="1" x14ac:dyDescent="0.2">
      <c r="A35" s="101"/>
      <c r="B35" s="92"/>
      <c r="C35" s="16" t="s">
        <v>408</v>
      </c>
      <c r="D35" s="13">
        <f>SUM(D$30:D34)</f>
        <v>0</v>
      </c>
      <c r="E35" s="13">
        <f>SUM(E$30:E34)</f>
        <v>0</v>
      </c>
      <c r="F35" s="13">
        <f>SUM(F$30:F34)</f>
        <v>0</v>
      </c>
      <c r="G35" s="15"/>
      <c r="H35" s="15"/>
      <c r="I35" s="15"/>
      <c r="J35" s="15"/>
      <c r="K35" s="15"/>
      <c r="L35" s="13" t="s">
        <v>477</v>
      </c>
      <c r="M35" s="13">
        <v>0.4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2" customHeight="1" x14ac:dyDescent="0.2">
      <c r="A36" s="101"/>
      <c r="B36" s="91" t="s">
        <v>431</v>
      </c>
      <c r="C36" s="16" t="s">
        <v>432</v>
      </c>
      <c r="D36" s="13">
        <f>$M$14*($M$12-$M$7)</f>
        <v>1918542.2137533133</v>
      </c>
      <c r="E36" s="13">
        <f>$M$16*($M$12-$M$7)/$M$12</f>
        <v>-10094.838415035665</v>
      </c>
      <c r="F36" s="13">
        <f>$M$17*($M$12-$M$7)/$M$12</f>
        <v>0</v>
      </c>
      <c r="G36" s="15"/>
      <c r="H36" s="15"/>
      <c r="I36" s="15"/>
      <c r="J36" s="15"/>
      <c r="K36" s="15"/>
      <c r="L36" s="13" t="s">
        <v>478</v>
      </c>
      <c r="M36" s="13">
        <v>0.1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2" customHeight="1" x14ac:dyDescent="0.2">
      <c r="A37" s="101"/>
      <c r="B37" s="92"/>
      <c r="C37" s="16" t="s">
        <v>408</v>
      </c>
      <c r="D37" s="13">
        <f>SUM(D$36:D36)</f>
        <v>1918542.2137533133</v>
      </c>
      <c r="E37" s="13">
        <f>SUM(E$36:E36)</f>
        <v>-10094.838415035665</v>
      </c>
      <c r="F37" s="13">
        <f>SUM(F$36:F36)</f>
        <v>0</v>
      </c>
      <c r="G37" s="15"/>
      <c r="H37" s="15"/>
      <c r="I37" s="15"/>
      <c r="J37" s="15"/>
      <c r="K37" s="15"/>
      <c r="L37" s="13" t="s">
        <v>479</v>
      </c>
      <c r="M37" s="13">
        <v>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2" customHeight="1" x14ac:dyDescent="0.2">
      <c r="A38" s="101"/>
      <c r="B38" s="91" t="s">
        <v>409</v>
      </c>
      <c r="C38" s="16" t="s">
        <v>433</v>
      </c>
      <c r="D38" s="13">
        <v>0</v>
      </c>
      <c r="E38" s="13">
        <v>0</v>
      </c>
      <c r="F38" s="13">
        <v>0</v>
      </c>
      <c r="G38" s="15"/>
      <c r="H38" s="15"/>
      <c r="I38" s="15"/>
      <c r="J38" s="15"/>
      <c r="K38" s="15"/>
      <c r="L38" s="13" t="s">
        <v>480</v>
      </c>
      <c r="M38" s="13">
        <f>IFERROR(VLOOKUP("Convencional1RuralNão se aplicaRURALB2",Descontos!B1:U88,VLOOKUP("Convencional1RuralNão se aplicaRURALB2",Descontos!B1:U88,20,FALSE)+12,FALSE),100)</f>
        <v>0.06</v>
      </c>
      <c r="N38" s="15" t="s">
        <v>537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2" customHeight="1" x14ac:dyDescent="0.2">
      <c r="A39" s="101"/>
      <c r="B39" s="101"/>
      <c r="C39" s="16" t="s">
        <v>434</v>
      </c>
      <c r="D39" s="13">
        <v>0</v>
      </c>
      <c r="E39" s="13"/>
      <c r="F39" s="13">
        <f>IF((+$D$11+$D$12+$D$16+$D$17+$D$39)&lt;&gt;0,$M$19*$D$39/(+$D$11+$D$12+$D$16+$D$17+$D$39),0)</f>
        <v>0</v>
      </c>
      <c r="G39" s="15"/>
      <c r="H39" s="15"/>
      <c r="I39" s="15"/>
      <c r="J39" s="15"/>
      <c r="K39" s="15"/>
      <c r="L39" s="13" t="s">
        <v>481</v>
      </c>
      <c r="M39" s="13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5">
        <v>0.3</v>
      </c>
      <c r="O39" s="15" t="s">
        <v>554</v>
      </c>
      <c r="P39" s="15" t="s">
        <v>555</v>
      </c>
      <c r="Q39" s="15" t="s">
        <v>556</v>
      </c>
      <c r="R39" s="15" t="s">
        <v>557</v>
      </c>
      <c r="S39" s="15" t="s">
        <v>1</v>
      </c>
      <c r="T39" s="15" t="s">
        <v>558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2" customHeight="1" x14ac:dyDescent="0.25">
      <c r="A40" s="101"/>
      <c r="B40" s="101"/>
      <c r="C40" s="16" t="s">
        <v>435</v>
      </c>
      <c r="D40" s="13"/>
      <c r="E40" s="13"/>
      <c r="F40" s="13"/>
      <c r="G40" s="15"/>
      <c r="H40" s="15"/>
      <c r="I40" s="15"/>
      <c r="J40" s="15"/>
      <c r="K40" s="15"/>
      <c r="L40" s="13" t="s">
        <v>482</v>
      </c>
      <c r="M40" s="13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5">
        <v>0.4</v>
      </c>
      <c r="O40" s="39"/>
      <c r="P40" s="39"/>
      <c r="Q40" s="39"/>
      <c r="R40" s="39"/>
      <c r="S40" s="39"/>
      <c r="T40" s="39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2" customHeight="1" x14ac:dyDescent="0.25">
      <c r="A41" s="101"/>
      <c r="B41" s="92"/>
      <c r="C41" s="16" t="s">
        <v>408</v>
      </c>
      <c r="D41" s="13">
        <f>SUM(D$38:D40)</f>
        <v>0</v>
      </c>
      <c r="E41" s="13">
        <f>SUM(E$38:E40)</f>
        <v>0</v>
      </c>
      <c r="F41" s="13">
        <f>SUM(F$38:F40)</f>
        <v>0</v>
      </c>
      <c r="G41" s="15"/>
      <c r="H41" s="15"/>
      <c r="I41" s="15"/>
      <c r="J41" s="15"/>
      <c r="K41" s="15"/>
      <c r="L41" s="15"/>
      <c r="M41" s="15"/>
      <c r="N41" s="15"/>
      <c r="O41" s="39"/>
      <c r="P41" s="39"/>
      <c r="Q41" s="39"/>
      <c r="R41" s="39"/>
      <c r="S41" s="39"/>
      <c r="T41" s="39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2" customHeight="1" x14ac:dyDescent="0.25">
      <c r="A42" s="101"/>
      <c r="B42" s="91" t="s">
        <v>419</v>
      </c>
      <c r="C42" s="16" t="s">
        <v>420</v>
      </c>
      <c r="D42" s="13"/>
      <c r="E42" s="13">
        <f>IF($D$47&lt;&gt;0,($D$46/$D$47)* -216318.952009952,0)+0</f>
        <v>-27429.875191861989</v>
      </c>
      <c r="F42" s="13"/>
      <c r="G42" s="15"/>
      <c r="H42" s="15"/>
      <c r="I42" s="15"/>
      <c r="J42" s="15"/>
      <c r="K42" s="15"/>
      <c r="L42" s="15"/>
      <c r="M42" s="15"/>
      <c r="N42" s="15"/>
      <c r="O42" s="39"/>
      <c r="P42" s="39"/>
      <c r="Q42" s="39"/>
      <c r="R42" s="39"/>
      <c r="S42" s="39"/>
      <c r="T42" s="39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2" customHeight="1" x14ac:dyDescent="0.25">
      <c r="A43" s="101"/>
      <c r="B43" s="92"/>
      <c r="C43" s="16" t="s">
        <v>408</v>
      </c>
      <c r="D43" s="13">
        <f>SUM(D$42:D42)</f>
        <v>0</v>
      </c>
      <c r="E43" s="13">
        <f>SUM(E$42:E42)</f>
        <v>-27429.875191861989</v>
      </c>
      <c r="F43" s="13">
        <f>SUM(F$42:F42)</f>
        <v>0</v>
      </c>
      <c r="G43" s="15"/>
      <c r="H43" s="15"/>
      <c r="I43" s="15"/>
      <c r="J43" s="15"/>
      <c r="K43" s="15"/>
      <c r="L43" s="15"/>
      <c r="M43" s="15"/>
      <c r="N43" s="15"/>
      <c r="O43" s="39"/>
      <c r="P43" s="39"/>
      <c r="Q43" s="39"/>
      <c r="R43" s="39"/>
      <c r="S43" s="39"/>
      <c r="T43" s="39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2" customHeight="1" x14ac:dyDescent="0.25">
      <c r="A44" s="101"/>
      <c r="B44" s="91" t="s">
        <v>422</v>
      </c>
      <c r="C44" s="16" t="s">
        <v>436</v>
      </c>
      <c r="D44" s="13">
        <f>$M$14*$M$11</f>
        <v>0</v>
      </c>
      <c r="E44" s="13">
        <f>$M$16*$M$11/$M$12</f>
        <v>0</v>
      </c>
      <c r="F44" s="13">
        <f>$M$17*$M$11/$M$12</f>
        <v>0</v>
      </c>
      <c r="G44" s="15"/>
      <c r="H44" s="15"/>
      <c r="I44" s="15"/>
      <c r="J44" s="15"/>
      <c r="K44" s="15"/>
      <c r="L44" s="15"/>
      <c r="M44" s="15"/>
      <c r="N44" s="15"/>
      <c r="O44" s="39"/>
      <c r="P44" s="39"/>
      <c r="Q44" s="39"/>
      <c r="R44" s="39"/>
      <c r="S44" s="39"/>
      <c r="T44" s="39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2" customHeight="1" x14ac:dyDescent="0.25">
      <c r="A45" s="101"/>
      <c r="B45" s="92"/>
      <c r="C45" s="16" t="s">
        <v>408</v>
      </c>
      <c r="D45" s="13">
        <f>SUM(D$44:D44)</f>
        <v>0</v>
      </c>
      <c r="E45" s="13">
        <f>SUM(E$44:E44)</f>
        <v>0</v>
      </c>
      <c r="F45" s="13">
        <f>SUM(F$44:F44)</f>
        <v>0</v>
      </c>
      <c r="G45" s="15"/>
      <c r="H45" s="15"/>
      <c r="I45" s="15"/>
      <c r="J45" s="15"/>
      <c r="K45" s="15"/>
      <c r="L45" s="15"/>
      <c r="M45" s="15"/>
      <c r="N45" s="15"/>
      <c r="O45" s="39"/>
      <c r="P45" s="39"/>
      <c r="Q45" s="39"/>
      <c r="R45" s="39"/>
      <c r="S45" s="39"/>
      <c r="T45" s="39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2" customHeight="1" x14ac:dyDescent="0.25">
      <c r="A46" s="92"/>
      <c r="B46" s="93" t="s">
        <v>408</v>
      </c>
      <c r="C46" s="94"/>
      <c r="D46" s="13">
        <f>SUMIF(C$30:C45,"SUBTOTAL",D$30:D45)</f>
        <v>1918542.2137533133</v>
      </c>
      <c r="E46" s="13">
        <f>SUMIF(C$30:C45,"SUBTOTAL",E$30:E45)</f>
        <v>-37524.713606897654</v>
      </c>
      <c r="F46" s="13">
        <f>SUMIF(C$30:C45,"SUBTOTAL",F$30:F45)</f>
        <v>0</v>
      </c>
      <c r="G46" s="15"/>
      <c r="H46" s="15"/>
      <c r="I46" s="15"/>
      <c r="J46" s="15"/>
      <c r="K46" s="15"/>
      <c r="L46" s="15"/>
      <c r="M46" s="15"/>
      <c r="N46" s="15"/>
      <c r="O46" s="39"/>
      <c r="P46" s="39"/>
      <c r="Q46" s="39"/>
      <c r="R46" s="39"/>
      <c r="S46" s="39"/>
      <c r="T46" s="39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2" customHeight="1" x14ac:dyDescent="0.25">
      <c r="A47" s="93" t="s">
        <v>437</v>
      </c>
      <c r="B47" s="99"/>
      <c r="C47" s="94"/>
      <c r="D47" s="13">
        <f>SUMIF(C$2:C46,"SUBTOTAL",D$2:D46)</f>
        <v>15130110.442102889</v>
      </c>
      <c r="E47" s="13">
        <f>SUMIF(C$2:C46,"SUBTOTAL",E$2:E46)</f>
        <v>-2880826.5614577574</v>
      </c>
      <c r="F47" s="13">
        <f>SUMIF(C$2:C46,"SUBTOTAL",F$2:F46)</f>
        <v>0</v>
      </c>
      <c r="G47" s="15"/>
      <c r="H47" s="15"/>
      <c r="I47" s="15"/>
      <c r="J47" s="15"/>
      <c r="K47" s="15"/>
      <c r="L47" s="15"/>
      <c r="M47" s="15"/>
      <c r="N47" s="15"/>
      <c r="O47" s="39"/>
      <c r="P47" s="39"/>
      <c r="Q47" s="39"/>
      <c r="R47" s="39"/>
      <c r="S47" s="39"/>
      <c r="T47" s="39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2" customHeight="1" x14ac:dyDescent="0.25">
      <c r="A48" s="97" t="s">
        <v>529</v>
      </c>
      <c r="B48" s="98"/>
      <c r="C48" s="98"/>
      <c r="D48" s="32">
        <f ca="1">'TUSD BE'!$AM$53+'TUSD BE'!$AM$57+'TE BE'!$AB$44</f>
        <v>15130110.44210289</v>
      </c>
      <c r="E48" s="32">
        <f ca="1">'TUSD BF'!$AM$53+'TE BF'!$AB$44</f>
        <v>-2880826.5614577588</v>
      </c>
      <c r="F48" s="32">
        <f ca="1">'TUSD CVA'!$AM$53+'TE CVA'!$AB$44</f>
        <v>0</v>
      </c>
      <c r="L48" s="16"/>
      <c r="M48" s="13"/>
      <c r="O48" s="39"/>
      <c r="P48" s="39"/>
      <c r="Q48" s="39"/>
      <c r="R48" s="39"/>
      <c r="S48" s="39"/>
      <c r="T48" s="39"/>
    </row>
    <row r="49" spans="1:20" ht="12" customHeight="1" x14ac:dyDescent="0.25">
      <c r="A49" s="97" t="s">
        <v>530</v>
      </c>
      <c r="B49" s="98"/>
      <c r="C49" s="98"/>
      <c r="D49" s="33" t="str">
        <f ca="1">IF(ABS(D48-D47)&gt;1,"ERRO","OK")</f>
        <v>OK</v>
      </c>
      <c r="E49" s="33" t="str">
        <f ca="1">IF(ABS(E48-E47)&gt;1,"ERRO","OK")</f>
        <v>OK</v>
      </c>
      <c r="F49" s="33" t="str">
        <f ca="1">IF(ABS(F48-F47)&gt;1,"ERRO","OK")</f>
        <v>OK</v>
      </c>
      <c r="L49" s="16"/>
      <c r="M49" s="13"/>
      <c r="O49" s="39"/>
      <c r="P49" s="39"/>
      <c r="Q49" s="39"/>
      <c r="R49" s="39"/>
      <c r="S49" s="39"/>
      <c r="T49" s="39"/>
    </row>
    <row r="50" spans="1:20" ht="12" customHeight="1" x14ac:dyDescent="0.25">
      <c r="L50" s="16"/>
      <c r="M50" s="13"/>
      <c r="O50" s="39"/>
      <c r="P50" s="39"/>
      <c r="Q50" s="39"/>
      <c r="R50" s="39"/>
      <c r="S50" s="39"/>
      <c r="T50" s="39"/>
    </row>
    <row r="51" spans="1:20" ht="12" customHeight="1" x14ac:dyDescent="0.25">
      <c r="L51" s="20" t="s">
        <v>483</v>
      </c>
      <c r="M51" s="21">
        <v>0</v>
      </c>
      <c r="O51" s="39"/>
      <c r="P51" s="39"/>
      <c r="Q51" s="39"/>
      <c r="R51" s="39"/>
      <c r="S51" s="39"/>
      <c r="T51" s="39"/>
    </row>
    <row r="52" spans="1:20" ht="12" customHeight="1" x14ac:dyDescent="0.25">
      <c r="O52" s="39"/>
      <c r="P52" s="39"/>
      <c r="Q52" s="39"/>
      <c r="R52" s="39"/>
      <c r="S52" s="39"/>
      <c r="T52" s="39"/>
    </row>
    <row r="53" spans="1:20" ht="12" customHeight="1" x14ac:dyDescent="0.25">
      <c r="O53" s="39"/>
      <c r="P53" s="39"/>
      <c r="Q53" s="39"/>
      <c r="R53" s="39"/>
      <c r="S53" s="39"/>
      <c r="T53" s="39"/>
    </row>
    <row r="54" spans="1:20" ht="12" customHeight="1" x14ac:dyDescent="0.25">
      <c r="O54" s="39"/>
      <c r="P54" s="39"/>
      <c r="Q54" s="39"/>
      <c r="R54" s="39"/>
      <c r="S54" s="39"/>
      <c r="T54" s="39"/>
    </row>
    <row r="55" spans="1:20" ht="12" customHeight="1" x14ac:dyDescent="0.25">
      <c r="O55" s="39"/>
      <c r="P55" s="39"/>
      <c r="Q55" s="39"/>
      <c r="R55" s="39"/>
      <c r="S55" s="39"/>
      <c r="T55" s="39"/>
    </row>
    <row r="56" spans="1:20" ht="12" customHeight="1" x14ac:dyDescent="0.25">
      <c r="O56" s="39"/>
      <c r="P56" s="39"/>
      <c r="Q56" s="39"/>
      <c r="R56" s="39"/>
      <c r="S56" s="39"/>
      <c r="T56" s="39"/>
    </row>
    <row r="57" spans="1:20" ht="12" customHeight="1" x14ac:dyDescent="0.25">
      <c r="O57" s="39"/>
      <c r="P57" s="39"/>
      <c r="Q57" s="39"/>
      <c r="R57" s="39"/>
      <c r="S57" s="39"/>
      <c r="T57" s="39"/>
    </row>
    <row r="58" spans="1:20" ht="12" customHeight="1" x14ac:dyDescent="0.25">
      <c r="O58" s="39"/>
      <c r="P58" s="39"/>
      <c r="Q58" s="39"/>
      <c r="R58" s="39"/>
      <c r="S58" s="39"/>
      <c r="T58" s="39"/>
    </row>
    <row r="59" spans="1:20" ht="12" customHeight="1" x14ac:dyDescent="0.25">
      <c r="O59" s="39"/>
      <c r="P59" s="39"/>
      <c r="Q59" s="39"/>
      <c r="R59" s="39"/>
      <c r="S59" s="39"/>
      <c r="T59" s="39"/>
    </row>
    <row r="60" spans="1:20" ht="12" customHeight="1" x14ac:dyDescent="0.25">
      <c r="O60" s="39"/>
      <c r="P60" s="39"/>
      <c r="Q60" s="39"/>
      <c r="R60" s="39"/>
      <c r="S60" s="39"/>
      <c r="T60" s="39"/>
    </row>
    <row r="61" spans="1:20" ht="12" customHeight="1" x14ac:dyDescent="0.25">
      <c r="O61" s="39"/>
      <c r="P61" s="39"/>
      <c r="Q61" s="39"/>
      <c r="R61" s="39"/>
      <c r="S61" s="39"/>
      <c r="T61" s="39"/>
    </row>
    <row r="62" spans="1:20" ht="12" customHeight="1" x14ac:dyDescent="0.25">
      <c r="O62" s="39"/>
      <c r="P62" s="39"/>
      <c r="Q62" s="39"/>
      <c r="R62" s="39"/>
      <c r="S62" s="39"/>
      <c r="T62" s="39"/>
    </row>
    <row r="63" spans="1:20" ht="12" customHeight="1" x14ac:dyDescent="0.25">
      <c r="O63" s="39"/>
      <c r="P63" s="39"/>
      <c r="Q63" s="39"/>
      <c r="R63" s="39"/>
      <c r="S63" s="39"/>
      <c r="T63" s="39"/>
    </row>
    <row r="64" spans="1:20" ht="12" customHeight="1" x14ac:dyDescent="0.25">
      <c r="O64" s="39"/>
      <c r="P64" s="39"/>
      <c r="Q64" s="39"/>
      <c r="R64" s="39"/>
      <c r="S64" s="39"/>
      <c r="T64" s="39"/>
    </row>
    <row r="65" spans="15:20" ht="12" customHeight="1" x14ac:dyDescent="0.25">
      <c r="O65" s="39"/>
      <c r="P65" s="39"/>
      <c r="Q65" s="39"/>
      <c r="R65" s="39"/>
      <c r="S65" s="39"/>
      <c r="T65" s="39"/>
    </row>
    <row r="66" spans="15:20" ht="12" customHeight="1" x14ac:dyDescent="0.25">
      <c r="O66" s="39"/>
      <c r="P66" s="39"/>
      <c r="Q66" s="39"/>
      <c r="R66" s="39"/>
      <c r="S66" s="39"/>
      <c r="T66" s="39"/>
    </row>
    <row r="67" spans="15:20" ht="12" customHeight="1" x14ac:dyDescent="0.25">
      <c r="O67" s="39"/>
      <c r="P67" s="39"/>
      <c r="Q67" s="39"/>
      <c r="R67" s="39"/>
      <c r="S67" s="39"/>
      <c r="T67" s="39"/>
    </row>
    <row r="68" spans="15:20" ht="12" customHeight="1" x14ac:dyDescent="0.25">
      <c r="O68" s="39"/>
      <c r="P68" s="39"/>
      <c r="Q68" s="39"/>
      <c r="R68" s="39"/>
      <c r="S68" s="39"/>
      <c r="T68" s="39"/>
    </row>
    <row r="69" spans="15:20" ht="12" customHeight="1" x14ac:dyDescent="0.25">
      <c r="O69" s="39"/>
      <c r="P69" s="39"/>
      <c r="Q69" s="39"/>
      <c r="R69" s="39"/>
      <c r="S69" s="39"/>
      <c r="T69" s="39"/>
    </row>
    <row r="70" spans="15:20" ht="12" customHeight="1" x14ac:dyDescent="0.25">
      <c r="O70" s="39"/>
      <c r="P70" s="39"/>
      <c r="Q70" s="39"/>
      <c r="R70" s="39"/>
      <c r="S70" s="39"/>
      <c r="T70" s="39"/>
    </row>
    <row r="71" spans="15:20" ht="12" customHeight="1" x14ac:dyDescent="0.25">
      <c r="O71" s="39"/>
      <c r="P71" s="39"/>
      <c r="Q71" s="39"/>
      <c r="R71" s="39"/>
      <c r="S71" s="39"/>
      <c r="T71" s="39"/>
    </row>
    <row r="72" spans="15:20" ht="12" customHeight="1" x14ac:dyDescent="0.25">
      <c r="O72" s="39"/>
      <c r="P72" s="39"/>
      <c r="Q72" s="39"/>
      <c r="R72" s="39"/>
      <c r="S72" s="39"/>
      <c r="T72" s="39"/>
    </row>
    <row r="73" spans="15:20" ht="12" customHeight="1" x14ac:dyDescent="0.25">
      <c r="O73" s="39"/>
      <c r="P73" s="39"/>
      <c r="Q73" s="39"/>
      <c r="R73" s="39"/>
      <c r="S73" s="39"/>
      <c r="T73" s="39"/>
    </row>
    <row r="74" spans="15:20" ht="12" customHeight="1" x14ac:dyDescent="0.25">
      <c r="O74" s="39"/>
      <c r="P74" s="39"/>
      <c r="Q74" s="39"/>
      <c r="R74" s="39"/>
      <c r="S74" s="39"/>
      <c r="T74" s="39"/>
    </row>
    <row r="75" spans="15:20" ht="12" customHeight="1" x14ac:dyDescent="0.25">
      <c r="O75" s="39"/>
      <c r="P75" s="39"/>
      <c r="Q75" s="39"/>
      <c r="R75" s="39"/>
      <c r="S75" s="39"/>
      <c r="T75" s="39"/>
    </row>
    <row r="76" spans="15:20" ht="12" customHeight="1" x14ac:dyDescent="0.25">
      <c r="O76" s="39"/>
      <c r="P76" s="39"/>
      <c r="Q76" s="39"/>
      <c r="R76" s="39"/>
      <c r="S76" s="39"/>
      <c r="T76" s="39"/>
    </row>
    <row r="77" spans="15:20" ht="12" customHeight="1" x14ac:dyDescent="0.25">
      <c r="O77" s="39"/>
      <c r="P77" s="39"/>
      <c r="Q77" s="39"/>
      <c r="R77" s="39"/>
      <c r="S77" s="39"/>
      <c r="T77" s="39"/>
    </row>
    <row r="78" spans="15:20" ht="12" customHeight="1" x14ac:dyDescent="0.25">
      <c r="O78" s="39"/>
      <c r="P78" s="39"/>
      <c r="Q78" s="39"/>
      <c r="R78" s="39"/>
      <c r="S78" s="39"/>
      <c r="T78" s="39"/>
    </row>
    <row r="79" spans="15:20" ht="12" customHeight="1" x14ac:dyDescent="0.25">
      <c r="O79" s="39"/>
      <c r="P79" s="39"/>
      <c r="Q79" s="39"/>
      <c r="R79" s="39"/>
      <c r="S79" s="39"/>
      <c r="T79" s="39"/>
    </row>
    <row r="80" spans="15:20" ht="12" customHeight="1" x14ac:dyDescent="0.25">
      <c r="O80" s="39"/>
      <c r="P80" s="39"/>
      <c r="Q80" s="39"/>
      <c r="R80" s="39"/>
      <c r="S80" s="39"/>
      <c r="T80" s="39"/>
    </row>
    <row r="81" spans="15:20" ht="12" customHeight="1" x14ac:dyDescent="0.25">
      <c r="O81" s="39"/>
      <c r="P81" s="39"/>
      <c r="Q81" s="39"/>
      <c r="R81" s="39"/>
      <c r="S81" s="39"/>
      <c r="T81" s="39"/>
    </row>
    <row r="82" spans="15:20" ht="12" customHeight="1" x14ac:dyDescent="0.25">
      <c r="O82" s="39"/>
      <c r="P82" s="39"/>
      <c r="Q82" s="39"/>
      <c r="R82" s="39"/>
      <c r="S82" s="39"/>
      <c r="T82" s="39"/>
    </row>
    <row r="83" spans="15:20" ht="12" customHeight="1" x14ac:dyDescent="0.25">
      <c r="O83" s="39"/>
      <c r="P83" s="39"/>
      <c r="Q83" s="39"/>
      <c r="R83" s="39"/>
      <c r="S83" s="39"/>
      <c r="T83" s="39"/>
    </row>
    <row r="84" spans="15:20" ht="12" customHeight="1" x14ac:dyDescent="0.25">
      <c r="O84" s="39"/>
      <c r="P84" s="39"/>
      <c r="Q84" s="39"/>
      <c r="R84" s="39"/>
      <c r="S84" s="39"/>
      <c r="T84" s="39"/>
    </row>
    <row r="85" spans="15:20" ht="12" customHeight="1" x14ac:dyDescent="0.25">
      <c r="O85" s="39"/>
      <c r="P85" s="39"/>
      <c r="Q85" s="39"/>
      <c r="R85" s="39"/>
      <c r="S85" s="39"/>
      <c r="T85" s="39"/>
    </row>
    <row r="86" spans="15:20" ht="12" customHeight="1" x14ac:dyDescent="0.25">
      <c r="O86" s="39"/>
      <c r="P86" s="39"/>
      <c r="Q86" s="39"/>
      <c r="R86" s="39"/>
      <c r="S86" s="39"/>
      <c r="T86" s="39"/>
    </row>
    <row r="87" spans="15:20" ht="12" customHeight="1" x14ac:dyDescent="0.25">
      <c r="O87" s="39"/>
      <c r="P87" s="39"/>
      <c r="Q87" s="39"/>
      <c r="R87" s="39"/>
      <c r="S87" s="39"/>
      <c r="T87" s="39"/>
    </row>
    <row r="88" spans="15:20" ht="12" customHeight="1" x14ac:dyDescent="0.25">
      <c r="O88" s="39"/>
      <c r="P88" s="39"/>
      <c r="Q88" s="39"/>
      <c r="R88" s="39"/>
      <c r="S88" s="39"/>
      <c r="T88" s="39"/>
    </row>
    <row r="89" spans="15:20" ht="12" customHeight="1" x14ac:dyDescent="0.25">
      <c r="O89" s="39"/>
      <c r="P89" s="39"/>
      <c r="Q89" s="39"/>
      <c r="R89" s="39"/>
      <c r="S89" s="39"/>
      <c r="T89" s="39"/>
    </row>
    <row r="90" spans="15:20" ht="12" customHeight="1" x14ac:dyDescent="0.25">
      <c r="O90" s="39"/>
      <c r="P90" s="39"/>
      <c r="Q90" s="39"/>
      <c r="R90" s="39"/>
      <c r="S90" s="39"/>
      <c r="T90" s="39"/>
    </row>
    <row r="91" spans="15:20" ht="12" customHeight="1" x14ac:dyDescent="0.25">
      <c r="O91" s="39"/>
      <c r="P91" s="39"/>
      <c r="Q91" s="39"/>
      <c r="R91" s="39"/>
      <c r="S91" s="39"/>
      <c r="T91" s="39"/>
    </row>
    <row r="92" spans="15:20" ht="12" customHeight="1" x14ac:dyDescent="0.25">
      <c r="O92" s="39"/>
      <c r="P92" s="39"/>
      <c r="Q92" s="39"/>
      <c r="R92" s="39"/>
      <c r="S92" s="39"/>
      <c r="T92" s="39"/>
    </row>
    <row r="93" spans="15:20" ht="12" customHeight="1" x14ac:dyDescent="0.25">
      <c r="O93" s="39"/>
      <c r="P93" s="39"/>
      <c r="Q93" s="39"/>
      <c r="R93" s="39"/>
      <c r="S93" s="39"/>
      <c r="T93" s="39"/>
    </row>
    <row r="94" spans="15:20" ht="12" customHeight="1" x14ac:dyDescent="0.25">
      <c r="O94" s="39"/>
      <c r="P94" s="39"/>
      <c r="Q94" s="39"/>
      <c r="R94" s="39"/>
      <c r="S94" s="39"/>
      <c r="T94" s="39"/>
    </row>
    <row r="95" spans="15:20" ht="12" customHeight="1" x14ac:dyDescent="0.25">
      <c r="O95" s="39"/>
      <c r="P95" s="39"/>
      <c r="Q95" s="39"/>
      <c r="R95" s="39"/>
      <c r="S95" s="39"/>
      <c r="T95" s="39"/>
    </row>
    <row r="96" spans="15:20" ht="12" customHeight="1" x14ac:dyDescent="0.25">
      <c r="O96" s="39"/>
      <c r="P96" s="39"/>
      <c r="Q96" s="39"/>
      <c r="R96" s="39"/>
      <c r="S96" s="39"/>
      <c r="T96" s="39"/>
    </row>
    <row r="97" spans="15:30" ht="12" customHeight="1" x14ac:dyDescent="0.25">
      <c r="O97" s="39"/>
      <c r="P97" s="39"/>
      <c r="Q97" s="39"/>
      <c r="R97" s="39"/>
      <c r="S97" s="39"/>
      <c r="T97" s="39"/>
    </row>
    <row r="98" spans="15:30" ht="12" customHeight="1" x14ac:dyDescent="0.25">
      <c r="O98" s="39"/>
      <c r="P98" s="39"/>
      <c r="Q98" s="39"/>
      <c r="R98" s="39"/>
      <c r="S98" s="39"/>
      <c r="T98" s="39"/>
    </row>
    <row r="99" spans="15:30" ht="12" customHeight="1" x14ac:dyDescent="0.25">
      <c r="O99" s="38"/>
      <c r="P99" s="38"/>
      <c r="Q99" s="38"/>
      <c r="R99" s="38"/>
      <c r="S99" s="38"/>
      <c r="T99" s="38"/>
    </row>
    <row r="100" spans="15:30" ht="12" customHeight="1" x14ac:dyDescent="0.25"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5:30" ht="12" customHeight="1" x14ac:dyDescent="0.25">
      <c r="O101" s="39" t="s">
        <v>554</v>
      </c>
      <c r="P101" s="39" t="s">
        <v>559</v>
      </c>
      <c r="Q101" s="39" t="s">
        <v>560</v>
      </c>
      <c r="R101" s="39" t="s">
        <v>561</v>
      </c>
      <c r="S101" s="39" t="s">
        <v>562</v>
      </c>
      <c r="T101" s="39" t="s">
        <v>563</v>
      </c>
      <c r="U101" s="39" t="s">
        <v>564</v>
      </c>
      <c r="V101" s="39" t="s">
        <v>565</v>
      </c>
      <c r="W101" s="39"/>
      <c r="X101" s="39"/>
      <c r="Y101" s="39"/>
      <c r="Z101" s="39"/>
      <c r="AA101" s="39"/>
      <c r="AB101" s="39"/>
      <c r="AC101" s="39"/>
      <c r="AD101" s="39"/>
    </row>
    <row r="102" spans="15:30" ht="12" customHeight="1" x14ac:dyDescent="0.25">
      <c r="O102" s="39" t="s">
        <v>49</v>
      </c>
      <c r="P102" s="39" t="s">
        <v>33</v>
      </c>
      <c r="Q102" s="39" t="s">
        <v>41</v>
      </c>
      <c r="R102" s="39" t="s">
        <v>42</v>
      </c>
      <c r="S102" s="39" t="s">
        <v>83</v>
      </c>
      <c r="T102" s="39" t="s">
        <v>566</v>
      </c>
      <c r="U102" s="39">
        <v>4</v>
      </c>
      <c r="V102" s="39">
        <v>0.3</v>
      </c>
      <c r="W102" s="39">
        <v>0.24</v>
      </c>
      <c r="X102" s="39">
        <v>0.18</v>
      </c>
      <c r="Y102" s="39">
        <v>0.12</v>
      </c>
      <c r="Z102" s="39">
        <v>0.06</v>
      </c>
      <c r="AA102" s="39">
        <v>0</v>
      </c>
      <c r="AB102" s="39"/>
      <c r="AC102" s="39"/>
      <c r="AD102" s="39"/>
    </row>
    <row r="103" spans="15:30" ht="12" customHeight="1" x14ac:dyDescent="0.25">
      <c r="O103" s="39" t="s">
        <v>49</v>
      </c>
      <c r="P103" s="39" t="s">
        <v>33</v>
      </c>
      <c r="Q103" s="39" t="s">
        <v>41</v>
      </c>
      <c r="R103" s="39" t="s">
        <v>42</v>
      </c>
      <c r="S103" s="39" t="s">
        <v>25</v>
      </c>
      <c r="T103" s="39" t="s">
        <v>42</v>
      </c>
      <c r="U103" s="39">
        <v>4</v>
      </c>
      <c r="V103" s="39">
        <v>0.3</v>
      </c>
      <c r="W103" s="39">
        <v>0.24</v>
      </c>
      <c r="X103" s="39">
        <v>0.18</v>
      </c>
      <c r="Y103" s="39">
        <v>0.12</v>
      </c>
      <c r="Z103" s="39">
        <v>0.06</v>
      </c>
      <c r="AA103" s="39">
        <v>0</v>
      </c>
      <c r="AB103" s="39"/>
      <c r="AC103" s="39"/>
      <c r="AD103" s="39"/>
    </row>
    <row r="104" spans="15:30" ht="12" customHeight="1" x14ac:dyDescent="0.25">
      <c r="O104" s="39" t="s">
        <v>49</v>
      </c>
      <c r="P104" s="39" t="s">
        <v>33</v>
      </c>
      <c r="Q104" s="39" t="s">
        <v>41</v>
      </c>
      <c r="R104" s="39" t="s">
        <v>42</v>
      </c>
      <c r="S104" s="39" t="s">
        <v>84</v>
      </c>
      <c r="T104" s="39" t="s">
        <v>566</v>
      </c>
      <c r="U104" s="39">
        <v>4</v>
      </c>
      <c r="V104" s="39">
        <v>0.4</v>
      </c>
      <c r="W104" s="39">
        <v>0.32</v>
      </c>
      <c r="X104" s="39">
        <v>0.24</v>
      </c>
      <c r="Y104" s="39">
        <v>0.16</v>
      </c>
      <c r="Z104" s="39">
        <v>0.08</v>
      </c>
      <c r="AA104" s="39">
        <v>0</v>
      </c>
      <c r="AB104" s="39"/>
      <c r="AC104" s="39"/>
      <c r="AD104" s="39"/>
    </row>
    <row r="105" spans="15:30" ht="12" customHeight="1" x14ac:dyDescent="0.25">
      <c r="O105" s="39" t="s">
        <v>49</v>
      </c>
      <c r="P105" s="39" t="s">
        <v>33</v>
      </c>
      <c r="Q105" s="39" t="s">
        <v>37</v>
      </c>
      <c r="R105" s="39" t="s">
        <v>47</v>
      </c>
      <c r="S105" s="39" t="s">
        <v>48</v>
      </c>
      <c r="T105" s="39" t="s">
        <v>566</v>
      </c>
      <c r="U105" s="39">
        <v>4</v>
      </c>
      <c r="V105" s="39">
        <v>0.15</v>
      </c>
      <c r="W105" s="39">
        <v>0.12</v>
      </c>
      <c r="X105" s="39">
        <v>0.09</v>
      </c>
      <c r="Y105" s="39">
        <v>0.06</v>
      </c>
      <c r="Z105" s="39">
        <v>0.03</v>
      </c>
      <c r="AA105" s="39">
        <v>0</v>
      </c>
      <c r="AB105" s="39"/>
      <c r="AC105" s="39"/>
      <c r="AD105" s="39"/>
    </row>
    <row r="106" spans="15:30" ht="12" customHeight="1" x14ac:dyDescent="0.25">
      <c r="O106" s="39" t="s">
        <v>49</v>
      </c>
      <c r="P106" s="39" t="s">
        <v>23</v>
      </c>
      <c r="Q106" s="39" t="s">
        <v>41</v>
      </c>
      <c r="R106" s="39" t="s">
        <v>42</v>
      </c>
      <c r="S106" s="39" t="s">
        <v>83</v>
      </c>
      <c r="T106" s="39" t="s">
        <v>566</v>
      </c>
      <c r="U106" s="39">
        <v>4</v>
      </c>
      <c r="V106" s="39">
        <v>0.3</v>
      </c>
      <c r="W106" s="39">
        <v>0.24</v>
      </c>
      <c r="X106" s="39">
        <v>0.18</v>
      </c>
      <c r="Y106" s="39">
        <v>0.12</v>
      </c>
      <c r="Z106" s="39">
        <v>0.06</v>
      </c>
      <c r="AA106" s="39">
        <v>0</v>
      </c>
      <c r="AB106" s="39"/>
      <c r="AC106" s="39"/>
      <c r="AD106" s="39"/>
    </row>
    <row r="107" spans="15:30" ht="12" customHeight="1" x14ac:dyDescent="0.25">
      <c r="O107" s="39" t="s">
        <v>49</v>
      </c>
      <c r="P107" s="39" t="s">
        <v>23</v>
      </c>
      <c r="Q107" s="39" t="s">
        <v>41</v>
      </c>
      <c r="R107" s="39" t="s">
        <v>42</v>
      </c>
      <c r="S107" s="39" t="s">
        <v>25</v>
      </c>
      <c r="T107" s="39" t="s">
        <v>566</v>
      </c>
      <c r="U107" s="39">
        <v>4</v>
      </c>
      <c r="V107" s="39">
        <v>0.3</v>
      </c>
      <c r="W107" s="39">
        <v>0.24</v>
      </c>
      <c r="X107" s="39">
        <v>0.18</v>
      </c>
      <c r="Y107" s="39">
        <v>0.12</v>
      </c>
      <c r="Z107" s="39">
        <v>0.06</v>
      </c>
      <c r="AA107" s="39">
        <v>0</v>
      </c>
      <c r="AB107" s="39"/>
      <c r="AC107" s="39"/>
      <c r="AD107" s="39"/>
    </row>
    <row r="108" spans="15:30" ht="12" customHeight="1" x14ac:dyDescent="0.25">
      <c r="O108" s="39" t="s">
        <v>49</v>
      </c>
      <c r="P108" s="39" t="s">
        <v>23</v>
      </c>
      <c r="Q108" s="39" t="s">
        <v>41</v>
      </c>
      <c r="R108" s="39" t="s">
        <v>42</v>
      </c>
      <c r="S108" s="39" t="s">
        <v>25</v>
      </c>
      <c r="T108" s="39" t="s">
        <v>42</v>
      </c>
      <c r="U108" s="39">
        <v>4</v>
      </c>
      <c r="V108" s="39">
        <v>0.3</v>
      </c>
      <c r="W108" s="39">
        <v>0.24</v>
      </c>
      <c r="X108" s="39">
        <v>0.18</v>
      </c>
      <c r="Y108" s="39">
        <v>0.12</v>
      </c>
      <c r="Z108" s="39">
        <v>0.06</v>
      </c>
      <c r="AA108" s="39">
        <v>0</v>
      </c>
      <c r="AB108" s="39"/>
      <c r="AC108" s="39"/>
      <c r="AD108" s="39"/>
    </row>
    <row r="109" spans="15:30" ht="12" customHeight="1" x14ac:dyDescent="0.25">
      <c r="O109" s="39" t="s">
        <v>49</v>
      </c>
      <c r="P109" s="39" t="s">
        <v>23</v>
      </c>
      <c r="Q109" s="39" t="s">
        <v>41</v>
      </c>
      <c r="R109" s="39" t="s">
        <v>42</v>
      </c>
      <c r="S109" s="39" t="s">
        <v>84</v>
      </c>
      <c r="T109" s="39" t="s">
        <v>566</v>
      </c>
      <c r="U109" s="39">
        <v>4</v>
      </c>
      <c r="V109" s="39">
        <v>0.4</v>
      </c>
      <c r="W109" s="39">
        <v>0.32</v>
      </c>
      <c r="X109" s="39">
        <v>0.24</v>
      </c>
      <c r="Y109" s="39">
        <v>0.16</v>
      </c>
      <c r="Z109" s="39">
        <v>0.08</v>
      </c>
      <c r="AA109" s="39">
        <v>0</v>
      </c>
      <c r="AB109" s="39"/>
      <c r="AC109" s="39"/>
      <c r="AD109" s="39"/>
    </row>
    <row r="110" spans="15:30" ht="12" customHeight="1" x14ac:dyDescent="0.25">
      <c r="O110" s="39" t="s">
        <v>49</v>
      </c>
      <c r="P110" s="39" t="s">
        <v>23</v>
      </c>
      <c r="Q110" s="39" t="s">
        <v>37</v>
      </c>
      <c r="R110" s="39" t="s">
        <v>47</v>
      </c>
      <c r="S110" s="39" t="s">
        <v>48</v>
      </c>
      <c r="T110" s="39" t="s">
        <v>566</v>
      </c>
      <c r="U110" s="39">
        <v>4</v>
      </c>
      <c r="V110" s="39">
        <v>0.15</v>
      </c>
      <c r="W110" s="39">
        <v>0.12</v>
      </c>
      <c r="X110" s="39">
        <v>0.09</v>
      </c>
      <c r="Y110" s="39">
        <v>0.06</v>
      </c>
      <c r="Z110" s="39">
        <v>0.03</v>
      </c>
      <c r="AA110" s="39">
        <v>0</v>
      </c>
      <c r="AB110" s="39"/>
      <c r="AC110" s="39"/>
      <c r="AD110" s="39"/>
    </row>
    <row r="111" spans="15:30" ht="12" customHeight="1" x14ac:dyDescent="0.25"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5:30" ht="12" customHeight="1" x14ac:dyDescent="0.25"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5:30" ht="12" customHeight="1" x14ac:dyDescent="0.25"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5:30" ht="12" customHeight="1" x14ac:dyDescent="0.25"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5:30" ht="12" customHeight="1" x14ac:dyDescent="0.25"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5:30" ht="12" customHeight="1" x14ac:dyDescent="0.25"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5:30" ht="12" customHeight="1" x14ac:dyDescent="0.25"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5:30" ht="12" customHeight="1" x14ac:dyDescent="0.25"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5:30" ht="12" customHeight="1" x14ac:dyDescent="0.25"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5:30" ht="12" customHeight="1" x14ac:dyDescent="0.25"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5:30" ht="12" customHeight="1" x14ac:dyDescent="0.25"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5:30" ht="12" customHeight="1" x14ac:dyDescent="0.25"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5:30" ht="12" customHeight="1" x14ac:dyDescent="0.25"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5:30" ht="12" customHeight="1" x14ac:dyDescent="0.25"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5:30" ht="12" customHeight="1" x14ac:dyDescent="0.25"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5:30" ht="12" customHeight="1" x14ac:dyDescent="0.25"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5:30" ht="12" customHeight="1" x14ac:dyDescent="0.25"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5:30" ht="12" customHeight="1" x14ac:dyDescent="0.25"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5:30" ht="12" customHeight="1" x14ac:dyDescent="0.25"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5:30" ht="12" customHeight="1" x14ac:dyDescent="0.25"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5:30" ht="12" customHeight="1" x14ac:dyDescent="0.25"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5:30" ht="12" customHeight="1" x14ac:dyDescent="0.25"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5:30" ht="12" customHeight="1" x14ac:dyDescent="0.25"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5:30" ht="12" customHeight="1" x14ac:dyDescent="0.25"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5:30" ht="12" customHeight="1" x14ac:dyDescent="0.25"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5:30" ht="12" customHeight="1" x14ac:dyDescent="0.25"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5:30" ht="12" customHeight="1" x14ac:dyDescent="0.25"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5:30" ht="12" customHeight="1" x14ac:dyDescent="0.25"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5:30" ht="12" customHeight="1" x14ac:dyDescent="0.25"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5:30" ht="12" customHeight="1" x14ac:dyDescent="0.25"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5:30" ht="12" customHeight="1" x14ac:dyDescent="0.25"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5:30" ht="12" customHeight="1" x14ac:dyDescent="0.25"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5:30" ht="12" customHeight="1" x14ac:dyDescent="0.25"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5:30" ht="12" customHeight="1" x14ac:dyDescent="0.25"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5:30" ht="12" customHeight="1" x14ac:dyDescent="0.25"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5:30" ht="12" customHeight="1" x14ac:dyDescent="0.25"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5:30" ht="12" customHeight="1" x14ac:dyDescent="0.25"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5:30" ht="12" customHeight="1" x14ac:dyDescent="0.25"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5:30" ht="12" customHeight="1" x14ac:dyDescent="0.25"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5:30" ht="12" customHeight="1" x14ac:dyDescent="0.25"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5:30" ht="12" customHeight="1" x14ac:dyDescent="0.25"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5:30" ht="12" customHeight="1" x14ac:dyDescent="0.25"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5:30" ht="12" customHeight="1" x14ac:dyDescent="0.25"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5:30" ht="12" customHeight="1" x14ac:dyDescent="0.25"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5:30" ht="12" customHeight="1" x14ac:dyDescent="0.25"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5:30" ht="12" customHeight="1" x14ac:dyDescent="0.25"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5:30" ht="12" customHeight="1" x14ac:dyDescent="0.25"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5:30" ht="12" customHeight="1" x14ac:dyDescent="0.25"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5:30" ht="12" customHeight="1" x14ac:dyDescent="0.25"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5:30" ht="12" customHeight="1" x14ac:dyDescent="0.25"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5:30" ht="12" customHeight="1" x14ac:dyDescent="0.25"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5:30" ht="12" customHeight="1" x14ac:dyDescent="0.25"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5:30" ht="12" customHeight="1" x14ac:dyDescent="0.25"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5:30" ht="12" customHeight="1" x14ac:dyDescent="0.25"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5:30" ht="12" customHeight="1" x14ac:dyDescent="0.25"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5:30" ht="12" customHeight="1" x14ac:dyDescent="0.25"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5:30" ht="12" customHeight="1" x14ac:dyDescent="0.25"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5:30" ht="12" customHeight="1" x14ac:dyDescent="0.25"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5:30" ht="12" customHeight="1" x14ac:dyDescent="0.25"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5:30" ht="12" customHeight="1" x14ac:dyDescent="0.25"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5:30" ht="12" customHeight="1" x14ac:dyDescent="0.25"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5:30" ht="12" customHeight="1" x14ac:dyDescent="0.25"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5:30" ht="12" customHeight="1" x14ac:dyDescent="0.25"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5:30" ht="12" customHeight="1" x14ac:dyDescent="0.25"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5:30" ht="12" customHeight="1" x14ac:dyDescent="0.25"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5:30" ht="12" customHeight="1" x14ac:dyDescent="0.25"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5:30" ht="12" customHeight="1" x14ac:dyDescent="0.25"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5:30" ht="12" customHeight="1" x14ac:dyDescent="0.25"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5:30" ht="12" customHeight="1" x14ac:dyDescent="0.25"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5:30" ht="12" customHeight="1" x14ac:dyDescent="0.25"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5:30" ht="12" customHeight="1" x14ac:dyDescent="0.25"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5:30" ht="12" customHeight="1" x14ac:dyDescent="0.25"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5:30" ht="12" customHeight="1" x14ac:dyDescent="0.25"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5:30" ht="12" customHeight="1" x14ac:dyDescent="0.25"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5:30" ht="12" customHeight="1" x14ac:dyDescent="0.25"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5:30" ht="12" customHeight="1" x14ac:dyDescent="0.25"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5:30" ht="12" customHeight="1" x14ac:dyDescent="0.25"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5:30" ht="12" customHeight="1" x14ac:dyDescent="0.25"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5:30" ht="12" customHeight="1" x14ac:dyDescent="0.25"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5:30" ht="12" customHeight="1" x14ac:dyDescent="0.25"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5:30" ht="12" customHeight="1" x14ac:dyDescent="0.25"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5:30" ht="12" customHeight="1" x14ac:dyDescent="0.25"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5:30" ht="12" customHeight="1" x14ac:dyDescent="0.25"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5:30" ht="12" customHeight="1" x14ac:dyDescent="0.25"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5:30" ht="12" customHeight="1" x14ac:dyDescent="0.25"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5:30" ht="12" customHeight="1" x14ac:dyDescent="0.25"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5:30" ht="12" customHeight="1" x14ac:dyDescent="0.25"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5:30" ht="12" customHeight="1" x14ac:dyDescent="0.25"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5:30" ht="12" customHeight="1" x14ac:dyDescent="0.25"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5:30" ht="12" customHeight="1" x14ac:dyDescent="0.25"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</sheetData>
  <mergeCells count="19">
    <mergeCell ref="B36:B37"/>
    <mergeCell ref="B38:B41"/>
    <mergeCell ref="B42:B43"/>
    <mergeCell ref="B44:B45"/>
    <mergeCell ref="B46:C46"/>
    <mergeCell ref="O1:U1"/>
    <mergeCell ref="A48:C48"/>
    <mergeCell ref="A49:C49"/>
    <mergeCell ref="A47:C47"/>
    <mergeCell ref="L1:M1"/>
    <mergeCell ref="A2:A29"/>
    <mergeCell ref="A30:A46"/>
    <mergeCell ref="B2:B10"/>
    <mergeCell ref="B11:B18"/>
    <mergeCell ref="B19:B20"/>
    <mergeCell ref="B21:B23"/>
    <mergeCell ref="B24:B28"/>
    <mergeCell ref="B29:C29"/>
    <mergeCell ref="B30:B3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E44F-D844-4BC6-8399-515ED6E7F793}">
  <dimension ref="A1:AP51"/>
  <sheetViews>
    <sheetView showGridLines="0" topLeftCell="A30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9.28515625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501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P1" s="104" t="s">
        <v>502</v>
      </c>
    </row>
    <row r="2" spans="1:42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P2" s="105"/>
    </row>
    <row r="3" spans="1:42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/>
      <c r="U3" s="104" t="s">
        <v>409</v>
      </c>
      <c r="V3" s="104"/>
      <c r="W3" s="104"/>
      <c r="X3" s="104"/>
      <c r="Y3" s="104"/>
      <c r="Z3" s="104"/>
      <c r="AA3" s="104"/>
      <c r="AB3" s="104"/>
      <c r="AC3" s="104" t="s">
        <v>417</v>
      </c>
      <c r="AD3" s="104"/>
      <c r="AE3" s="104" t="s">
        <v>419</v>
      </c>
      <c r="AF3" s="104"/>
      <c r="AG3" s="104"/>
      <c r="AH3" s="104" t="s">
        <v>422</v>
      </c>
      <c r="AI3" s="104"/>
      <c r="AJ3" s="104"/>
      <c r="AK3" s="104"/>
      <c r="AL3" s="104"/>
      <c r="AM3" s="104" t="s">
        <v>408</v>
      </c>
      <c r="AP3" s="105"/>
    </row>
    <row r="4" spans="1:42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408</v>
      </c>
      <c r="U4" s="10" t="s">
        <v>410</v>
      </c>
      <c r="V4" s="10" t="s">
        <v>411</v>
      </c>
      <c r="W4" s="10" t="s">
        <v>412</v>
      </c>
      <c r="X4" s="10" t="s">
        <v>413</v>
      </c>
      <c r="Y4" s="10" t="s">
        <v>414</v>
      </c>
      <c r="Z4" s="10" t="s">
        <v>415</v>
      </c>
      <c r="AA4" s="10" t="s">
        <v>416</v>
      </c>
      <c r="AB4" s="10" t="s">
        <v>408</v>
      </c>
      <c r="AC4" s="10" t="s">
        <v>418</v>
      </c>
      <c r="AD4" s="10" t="s">
        <v>408</v>
      </c>
      <c r="AE4" s="10" t="s">
        <v>420</v>
      </c>
      <c r="AF4" s="10" t="s">
        <v>421</v>
      </c>
      <c r="AG4" s="10" t="s">
        <v>408</v>
      </c>
      <c r="AH4" s="10" t="s">
        <v>423</v>
      </c>
      <c r="AI4" s="10" t="s">
        <v>424</v>
      </c>
      <c r="AJ4" s="10" t="s">
        <v>425</v>
      </c>
      <c r="AK4" s="10" t="s">
        <v>426</v>
      </c>
      <c r="AL4" s="10" t="s">
        <v>408</v>
      </c>
      <c r="AM4" s="106"/>
      <c r="AP4" s="105"/>
    </row>
    <row r="5" spans="1:42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/>
      <c r="M5" s="13"/>
      <c r="N5" s="13"/>
      <c r="O5" s="13"/>
      <c r="P5" s="13"/>
      <c r="Q5" s="13"/>
      <c r="R5" s="13"/>
      <c r="S5" s="13"/>
      <c r="T5" s="13"/>
      <c r="U5" s="13">
        <v>0</v>
      </c>
      <c r="V5" s="13">
        <v>0</v>
      </c>
      <c r="W5" s="13">
        <v>0</v>
      </c>
      <c r="X5" s="13">
        <v>0</v>
      </c>
      <c r="Y5" s="13">
        <v>26.193100000000001</v>
      </c>
      <c r="Z5" s="13">
        <v>0</v>
      </c>
      <c r="AA5" s="13">
        <v>0</v>
      </c>
      <c r="AB5" s="13"/>
      <c r="AC5" s="13">
        <v>57.262700000000002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P5" s="13">
        <v>1</v>
      </c>
    </row>
    <row r="6" spans="1:42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/>
      <c r="M6" s="13"/>
      <c r="N6" s="13"/>
      <c r="O6" s="13"/>
      <c r="P6" s="13"/>
      <c r="Q6" s="13"/>
      <c r="R6" s="13"/>
      <c r="S6" s="13"/>
      <c r="T6" s="13"/>
      <c r="U6" s="13">
        <v>0</v>
      </c>
      <c r="V6" s="13">
        <v>0</v>
      </c>
      <c r="W6" s="13">
        <v>0</v>
      </c>
      <c r="X6" s="13">
        <v>0</v>
      </c>
      <c r="Y6" s="13">
        <v>13.170299999999999</v>
      </c>
      <c r="Z6" s="13">
        <v>0</v>
      </c>
      <c r="AA6" s="13">
        <v>0</v>
      </c>
      <c r="AB6" s="13"/>
      <c r="AC6" s="13">
        <v>26.384899999999998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P6" s="13">
        <v>1</v>
      </c>
    </row>
    <row r="7" spans="1:42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/>
      <c r="AC7" s="13"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P7" s="13">
        <v>1</v>
      </c>
    </row>
    <row r="8" spans="1:42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/>
      <c r="M8" s="13"/>
      <c r="N8" s="13"/>
      <c r="O8" s="13"/>
      <c r="P8" s="13"/>
      <c r="Q8" s="13"/>
      <c r="R8" s="13"/>
      <c r="S8" s="13"/>
      <c r="T8" s="13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/>
      <c r="AC8" s="13"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P8" s="13">
        <v>1</v>
      </c>
    </row>
    <row r="9" spans="1:42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/>
      <c r="M9" s="13"/>
      <c r="N9" s="13"/>
      <c r="O9" s="13"/>
      <c r="P9" s="13"/>
      <c r="Q9" s="13"/>
      <c r="R9" s="13"/>
      <c r="S9" s="13"/>
      <c r="T9" s="13"/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/>
      <c r="AC9" s="13">
        <v>13.668900000000001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P9" s="13"/>
    </row>
    <row r="10" spans="1:42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/>
      <c r="M10" s="13"/>
      <c r="N10" s="13"/>
      <c r="O10" s="13"/>
      <c r="P10" s="13"/>
      <c r="Q10" s="13"/>
      <c r="R10" s="13"/>
      <c r="S10" s="13"/>
      <c r="T10" s="13"/>
      <c r="U10" s="13">
        <v>0</v>
      </c>
      <c r="V10" s="13">
        <v>0</v>
      </c>
      <c r="W10" s="13">
        <v>0</v>
      </c>
      <c r="X10" s="13">
        <v>0</v>
      </c>
      <c r="Y10" s="13">
        <v>13.170299999999999</v>
      </c>
      <c r="Z10" s="13">
        <v>0</v>
      </c>
      <c r="AA10" s="13">
        <v>0</v>
      </c>
      <c r="AB10" s="13"/>
      <c r="AC10" s="13">
        <v>26.384899999999998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P10" s="13">
        <v>1</v>
      </c>
    </row>
    <row r="11" spans="1:42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/>
      <c r="M11" s="13"/>
      <c r="N11" s="13"/>
      <c r="O11" s="13"/>
      <c r="P11" s="13"/>
      <c r="Q11" s="13"/>
      <c r="R11" s="13"/>
      <c r="S11" s="13"/>
      <c r="T11" s="13"/>
      <c r="U11" s="13">
        <v>0</v>
      </c>
      <c r="V11" s="13">
        <v>0</v>
      </c>
      <c r="W11" s="13">
        <v>0</v>
      </c>
      <c r="X11" s="13">
        <v>0</v>
      </c>
      <c r="Y11" s="13">
        <v>630.00890000000004</v>
      </c>
      <c r="Z11" s="13">
        <v>0</v>
      </c>
      <c r="AA11" s="13">
        <v>0</v>
      </c>
      <c r="AB11" s="13"/>
      <c r="AC11" s="13">
        <v>1377.1638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P11" s="13">
        <v>1</v>
      </c>
    </row>
    <row r="12" spans="1:42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/>
      <c r="M12" s="13"/>
      <c r="N12" s="13"/>
      <c r="O12" s="13"/>
      <c r="P12" s="13"/>
      <c r="Q12" s="13"/>
      <c r="R12" s="13"/>
      <c r="S12" s="13"/>
      <c r="T12" s="13"/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/>
      <c r="AC12" s="13"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P12" s="13">
        <v>1</v>
      </c>
    </row>
    <row r="13" spans="1:42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>
        <v>0</v>
      </c>
      <c r="W13" s="13">
        <v>0</v>
      </c>
      <c r="X13" s="13">
        <v>0</v>
      </c>
      <c r="Y13" s="13">
        <v>630.00890000000004</v>
      </c>
      <c r="Z13" s="13">
        <v>0</v>
      </c>
      <c r="AA13" s="13">
        <v>0</v>
      </c>
      <c r="AB13" s="13"/>
      <c r="AC13" s="13">
        <v>1377.1638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P13" s="13">
        <v>1</v>
      </c>
    </row>
    <row r="14" spans="1:42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/>
      <c r="M14" s="13"/>
      <c r="N14" s="13"/>
      <c r="O14" s="13"/>
      <c r="P14" s="13"/>
      <c r="Q14" s="13"/>
      <c r="R14" s="13"/>
      <c r="S14" s="13"/>
      <c r="T14" s="13"/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/>
      <c r="AC14" s="13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P14" s="13">
        <v>1</v>
      </c>
    </row>
    <row r="15" spans="1:42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/>
      <c r="AC15" s="13">
        <v>5.4002999999999997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P15" s="13"/>
    </row>
    <row r="16" spans="1:42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/>
      <c r="M16" s="13"/>
      <c r="N16" s="13"/>
      <c r="O16" s="13"/>
      <c r="P16" s="13"/>
      <c r="Q16" s="13"/>
      <c r="R16" s="13"/>
      <c r="S16" s="13"/>
      <c r="T16" s="13"/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/>
      <c r="AC16" s="13">
        <v>24.208400000000001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P16" s="13"/>
    </row>
    <row r="17" spans="1:42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/>
      <c r="M17" s="13"/>
      <c r="N17" s="13"/>
      <c r="O17" s="13"/>
      <c r="P17" s="13"/>
      <c r="Q17" s="13"/>
      <c r="R17" s="13"/>
      <c r="S17" s="13"/>
      <c r="T17" s="13"/>
      <c r="U17" s="13">
        <v>0</v>
      </c>
      <c r="V17" s="13">
        <v>0</v>
      </c>
      <c r="W17" s="13">
        <v>0</v>
      </c>
      <c r="X17" s="13">
        <v>0</v>
      </c>
      <c r="Y17" s="13">
        <v>317.01929999999999</v>
      </c>
      <c r="Z17" s="13">
        <v>0</v>
      </c>
      <c r="AA17" s="13">
        <v>0</v>
      </c>
      <c r="AB17" s="13"/>
      <c r="AC17" s="13">
        <v>1444.6854000000001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P17" s="13">
        <v>1</v>
      </c>
    </row>
    <row r="18" spans="1:42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/>
      <c r="M18" s="13"/>
      <c r="N18" s="13"/>
      <c r="O18" s="13"/>
      <c r="P18" s="13"/>
      <c r="Q18" s="13"/>
      <c r="R18" s="13"/>
      <c r="S18" s="13"/>
      <c r="T18" s="13"/>
      <c r="U18" s="13">
        <v>0</v>
      </c>
      <c r="V18" s="13">
        <v>0</v>
      </c>
      <c r="W18" s="13">
        <v>0</v>
      </c>
      <c r="X18" s="13">
        <v>0</v>
      </c>
      <c r="Y18" s="13">
        <v>190.18209999999999</v>
      </c>
      <c r="Z18" s="13">
        <v>0</v>
      </c>
      <c r="AA18" s="13">
        <v>0</v>
      </c>
      <c r="AB18" s="13"/>
      <c r="AC18" s="13">
        <v>866.81110000000001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P18" s="13">
        <v>1</v>
      </c>
    </row>
    <row r="19" spans="1:42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/>
      <c r="M19" s="13"/>
      <c r="N19" s="13"/>
      <c r="O19" s="13"/>
      <c r="P19" s="13"/>
      <c r="Q19" s="13"/>
      <c r="R19" s="13"/>
      <c r="S19" s="13"/>
      <c r="T19" s="13"/>
      <c r="U19" s="13">
        <v>0</v>
      </c>
      <c r="V19" s="13">
        <v>0</v>
      </c>
      <c r="W19" s="13">
        <v>0</v>
      </c>
      <c r="X19" s="13">
        <v>0</v>
      </c>
      <c r="Y19" s="13">
        <v>63.393999999999998</v>
      </c>
      <c r="Z19" s="13">
        <v>0</v>
      </c>
      <c r="AA19" s="13">
        <v>0</v>
      </c>
      <c r="AB19" s="13"/>
      <c r="AC19" s="13">
        <v>288.93689999999998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P19" s="13">
        <v>1</v>
      </c>
    </row>
    <row r="20" spans="1:42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>
        <v>0</v>
      </c>
      <c r="W20" s="13">
        <v>0</v>
      </c>
      <c r="X20" s="13">
        <v>0</v>
      </c>
      <c r="Y20" s="13">
        <v>109.3425</v>
      </c>
      <c r="Z20" s="13">
        <v>0</v>
      </c>
      <c r="AA20" s="13">
        <v>0</v>
      </c>
      <c r="AB20" s="13"/>
      <c r="AC20" s="13">
        <v>498.16730000000001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P20" s="13">
        <v>1</v>
      </c>
    </row>
    <row r="21" spans="1:42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/>
      <c r="M21" s="13"/>
      <c r="N21" s="13"/>
      <c r="O21" s="13"/>
      <c r="P21" s="13"/>
      <c r="Q21" s="13"/>
      <c r="R21" s="13"/>
      <c r="S21" s="13"/>
      <c r="T21" s="13"/>
      <c r="U21" s="13">
        <v>0</v>
      </c>
      <c r="V21" s="13">
        <v>0</v>
      </c>
      <c r="W21" s="13">
        <v>0</v>
      </c>
      <c r="X21" s="13">
        <v>0</v>
      </c>
      <c r="Y21" s="13">
        <f>(1 - CUSTOS!$M$24)*109.3425</f>
        <v>109.3425</v>
      </c>
      <c r="Z21" s="13">
        <v>0</v>
      </c>
      <c r="AA21" s="13">
        <v>0</v>
      </c>
      <c r="AB21" s="13"/>
      <c r="AC21" s="13">
        <f>(1 - CUSTOS!$M$24)*498.1673</f>
        <v>498.16730000000001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/>
      <c r="M22" s="13"/>
      <c r="N22" s="13"/>
      <c r="O22" s="13"/>
      <c r="P22" s="13"/>
      <c r="Q22" s="13"/>
      <c r="R22" s="13"/>
      <c r="S22" s="13"/>
      <c r="T22" s="13"/>
      <c r="U22" s="13">
        <v>0</v>
      </c>
      <c r="V22" s="13">
        <v>0</v>
      </c>
      <c r="W22" s="13">
        <v>0</v>
      </c>
      <c r="X22" s="13">
        <v>0</v>
      </c>
      <c r="Y22" s="13">
        <f>(1 - CUSTOS!$M$25)*109.3425</f>
        <v>109.3425</v>
      </c>
      <c r="Z22" s="13">
        <v>0</v>
      </c>
      <c r="AA22" s="13">
        <v>0</v>
      </c>
      <c r="AB22" s="13"/>
      <c r="AC22" s="13">
        <f>(1 - CUSTOS!$M$25)*498.1673</f>
        <v>498.16730000000001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/>
      <c r="M23" s="13"/>
      <c r="N23" s="13"/>
      <c r="O23" s="13"/>
      <c r="P23" s="13"/>
      <c r="Q23" s="13"/>
      <c r="R23" s="13"/>
      <c r="S23" s="13"/>
      <c r="T23" s="13"/>
      <c r="U23" s="13">
        <v>0</v>
      </c>
      <c r="V23" s="13">
        <v>0</v>
      </c>
      <c r="W23" s="13">
        <v>0</v>
      </c>
      <c r="X23" s="13">
        <v>0</v>
      </c>
      <c r="Y23" s="13">
        <f>(1 - CUSTOS!$M$26)*109.3425</f>
        <v>109.3425</v>
      </c>
      <c r="Z23" s="13">
        <v>0</v>
      </c>
      <c r="AA23" s="13">
        <v>0</v>
      </c>
      <c r="AB23" s="13"/>
      <c r="AC23" s="13">
        <f>(1 - CUSTOS!$M$26)*498.1673</f>
        <v>498.16730000000001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/>
      <c r="M24" s="13"/>
      <c r="N24" s="13"/>
      <c r="O24" s="13"/>
      <c r="P24" s="13"/>
      <c r="Q24" s="13"/>
      <c r="R24" s="13"/>
      <c r="S24" s="13"/>
      <c r="T24" s="13"/>
      <c r="U24" s="13">
        <v>0</v>
      </c>
      <c r="V24" s="13">
        <v>0</v>
      </c>
      <c r="W24" s="13">
        <v>0</v>
      </c>
      <c r="X24" s="13">
        <v>0</v>
      </c>
      <c r="Y24" s="13">
        <f>(1 - CUSTOS!$M$27)*109.3425</f>
        <v>109.3425</v>
      </c>
      <c r="Z24" s="13">
        <v>0</v>
      </c>
      <c r="AA24" s="13">
        <v>0</v>
      </c>
      <c r="AB24" s="13"/>
      <c r="AC24" s="13">
        <f>(1 - CUSTOS!$M$27)*498.1673</f>
        <v>498.16730000000001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/>
      <c r="M25" s="13"/>
      <c r="N25" s="13"/>
      <c r="O25" s="13"/>
      <c r="P25" s="13"/>
      <c r="Q25" s="13"/>
      <c r="R25" s="13"/>
      <c r="S25" s="13"/>
      <c r="T25" s="13"/>
      <c r="U25" s="13">
        <v>0</v>
      </c>
      <c r="V25" s="13">
        <v>0</v>
      </c>
      <c r="W25" s="13">
        <v>0</v>
      </c>
      <c r="X25" s="13">
        <v>0</v>
      </c>
      <c r="Y25" s="13">
        <v>109.3425</v>
      </c>
      <c r="Z25" s="13">
        <v>0</v>
      </c>
      <c r="AA25" s="13">
        <v>0</v>
      </c>
      <c r="AB25" s="13"/>
      <c r="AC25" s="13">
        <v>498.16730000000001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P25" s="13">
        <v>1</v>
      </c>
    </row>
    <row r="26" spans="1:42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/>
      <c r="M26" s="13"/>
      <c r="N26" s="13"/>
      <c r="O26" s="13"/>
      <c r="P26" s="13"/>
      <c r="Q26" s="13"/>
      <c r="R26" s="13"/>
      <c r="S26" s="13"/>
      <c r="T26" s="13"/>
      <c r="U26" s="13">
        <v>0</v>
      </c>
      <c r="V26" s="13">
        <v>0</v>
      </c>
      <c r="W26" s="13">
        <v>0</v>
      </c>
      <c r="X26" s="13">
        <v>0</v>
      </c>
      <c r="Y26" s="13">
        <f>(1 - CUSTOS!$M$24)*109.3425</f>
        <v>109.3425</v>
      </c>
      <c r="Z26" s="13">
        <v>0</v>
      </c>
      <c r="AA26" s="13">
        <v>0</v>
      </c>
      <c r="AB26" s="13"/>
      <c r="AC26" s="13">
        <f>(1 - CUSTOS!$M$24)*498.1673</f>
        <v>498.16730000000001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/>
      <c r="M27" s="13"/>
      <c r="N27" s="13"/>
      <c r="O27" s="13"/>
      <c r="P27" s="13"/>
      <c r="Q27" s="13"/>
      <c r="R27" s="13"/>
      <c r="S27" s="13"/>
      <c r="T27" s="13"/>
      <c r="U27" s="13">
        <v>0</v>
      </c>
      <c r="V27" s="13">
        <v>0</v>
      </c>
      <c r="W27" s="13">
        <v>0</v>
      </c>
      <c r="X27" s="13">
        <v>0</v>
      </c>
      <c r="Y27" s="13">
        <f>(1 - CUSTOS!$M$25)*109.3425</f>
        <v>109.3425</v>
      </c>
      <c r="Z27" s="13">
        <v>0</v>
      </c>
      <c r="AA27" s="13">
        <v>0</v>
      </c>
      <c r="AB27" s="13"/>
      <c r="AC27" s="13">
        <f>(1 - CUSTOS!$M$25)*498.1673</f>
        <v>498.16730000000001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/>
      <c r="M28" s="13"/>
      <c r="N28" s="13"/>
      <c r="O28" s="13"/>
      <c r="P28" s="13"/>
      <c r="Q28" s="13"/>
      <c r="R28" s="13"/>
      <c r="S28" s="13"/>
      <c r="T28" s="13"/>
      <c r="U28" s="13">
        <v>0</v>
      </c>
      <c r="V28" s="13">
        <v>0</v>
      </c>
      <c r="W28" s="13">
        <v>0</v>
      </c>
      <c r="X28" s="13">
        <v>0</v>
      </c>
      <c r="Y28" s="13">
        <f>(1 - CUSTOS!$M$26)*109.3425</f>
        <v>109.3425</v>
      </c>
      <c r="Z28" s="13">
        <v>0</v>
      </c>
      <c r="AA28" s="13">
        <v>0</v>
      </c>
      <c r="AB28" s="13"/>
      <c r="AC28" s="13">
        <f>(1 - CUSTOS!$M$26)*498.1673</f>
        <v>498.16730000000001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/>
      <c r="M29" s="13"/>
      <c r="N29" s="13"/>
      <c r="O29" s="13"/>
      <c r="P29" s="13"/>
      <c r="Q29" s="13"/>
      <c r="R29" s="13"/>
      <c r="S29" s="13"/>
      <c r="T29" s="13"/>
      <c r="U29" s="13">
        <v>0</v>
      </c>
      <c r="V29" s="13">
        <v>0</v>
      </c>
      <c r="W29" s="13">
        <v>0</v>
      </c>
      <c r="X29" s="13">
        <v>0</v>
      </c>
      <c r="Y29" s="13">
        <f>(1 - CUSTOS!$M$27)*109.3425</f>
        <v>109.3425</v>
      </c>
      <c r="Z29" s="13">
        <v>0</v>
      </c>
      <c r="AA29" s="13">
        <v>0</v>
      </c>
      <c r="AB29" s="13"/>
      <c r="AC29" s="13">
        <f>(1 - CUSTOS!$M$27)*498.1673</f>
        <v>498.16730000000001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/>
      <c r="M30" s="13"/>
      <c r="N30" s="13"/>
      <c r="O30" s="13"/>
      <c r="P30" s="13"/>
      <c r="Q30" s="13"/>
      <c r="R30" s="13"/>
      <c r="S30" s="13"/>
      <c r="T30" s="13"/>
      <c r="U30" s="13">
        <v>0</v>
      </c>
      <c r="V30" s="13">
        <v>0</v>
      </c>
      <c r="W30" s="13">
        <v>0</v>
      </c>
      <c r="X30" s="13">
        <v>0</v>
      </c>
      <c r="Y30" s="13">
        <f>(1 - CUSTOS!$M$28)*371.666</f>
        <v>371.666</v>
      </c>
      <c r="Z30" s="13">
        <v>0</v>
      </c>
      <c r="AA30" s="13">
        <v>0</v>
      </c>
      <c r="AB30" s="13"/>
      <c r="AC30" s="13">
        <f>(1 - CUSTOS!$M$28)*1693.7691</f>
        <v>1693.7691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>
        <v>0</v>
      </c>
      <c r="W31" s="13">
        <v>0</v>
      </c>
      <c r="X31" s="13">
        <v>0</v>
      </c>
      <c r="Y31" s="13">
        <f>(1 - CUSTOS!$M$28)*223.0094</f>
        <v>223.0094</v>
      </c>
      <c r="Z31" s="13">
        <v>0</v>
      </c>
      <c r="AA31" s="13">
        <v>0</v>
      </c>
      <c r="AB31" s="13"/>
      <c r="AC31" s="13">
        <f>(1 - CUSTOS!$M$28)*1016.2612</f>
        <v>1016.2612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/>
      <c r="M32" s="13"/>
      <c r="N32" s="13"/>
      <c r="O32" s="13"/>
      <c r="P32" s="13"/>
      <c r="Q32" s="13"/>
      <c r="R32" s="13"/>
      <c r="S32" s="13"/>
      <c r="T32" s="13"/>
      <c r="U32" s="13">
        <v>0</v>
      </c>
      <c r="V32" s="13">
        <v>0</v>
      </c>
      <c r="W32" s="13">
        <v>0</v>
      </c>
      <c r="X32" s="13">
        <v>0</v>
      </c>
      <c r="Y32" s="13">
        <f>(1 - CUSTOS!$M$28)*74.3528</f>
        <v>74.352800000000002</v>
      </c>
      <c r="Z32" s="13">
        <v>0</v>
      </c>
      <c r="AA32" s="13">
        <v>0</v>
      </c>
      <c r="AB32" s="13"/>
      <c r="AC32" s="13">
        <f>(1 - CUSTOS!$M$28)*338.7539</f>
        <v>338.75389999999999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/>
      <c r="M33" s="13"/>
      <c r="N33" s="13"/>
      <c r="O33" s="13"/>
      <c r="P33" s="13"/>
      <c r="Q33" s="13"/>
      <c r="R33" s="13"/>
      <c r="S33" s="13"/>
      <c r="T33" s="13"/>
      <c r="U33" s="13">
        <v>0</v>
      </c>
      <c r="V33" s="13">
        <v>0</v>
      </c>
      <c r="W33" s="13">
        <v>0</v>
      </c>
      <c r="X33" s="13">
        <v>0</v>
      </c>
      <c r="Y33" s="13">
        <f>(1 - CUSTOS!$M$28)*109.3425</f>
        <v>109.3425</v>
      </c>
      <c r="Z33" s="13">
        <v>0</v>
      </c>
      <c r="AA33" s="13">
        <v>0</v>
      </c>
      <c r="AB33" s="13"/>
      <c r="AC33" s="13">
        <f>(1 - CUSTOS!$M$28)*498.1673</f>
        <v>498.16730000000001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/>
      <c r="M34" s="13"/>
      <c r="N34" s="13"/>
      <c r="O34" s="13"/>
      <c r="P34" s="13"/>
      <c r="Q34" s="13"/>
      <c r="R34" s="13"/>
      <c r="S34" s="13"/>
      <c r="T34" s="13"/>
      <c r="U34" s="13">
        <v>0</v>
      </c>
      <c r="V34" s="13">
        <v>0</v>
      </c>
      <c r="W34" s="13">
        <v>0</v>
      </c>
      <c r="X34" s="13">
        <v>0</v>
      </c>
      <c r="Y34" s="13">
        <f>(1 - CUSTOS!$M$29)*371.666</f>
        <v>371.666</v>
      </c>
      <c r="Z34" s="13">
        <v>0</v>
      </c>
      <c r="AA34" s="13">
        <v>0</v>
      </c>
      <c r="AB34" s="13"/>
      <c r="AC34" s="13">
        <f>(1 - CUSTOS!$M$29)*1693.7691</f>
        <v>1693.7691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/>
      <c r="M35" s="13"/>
      <c r="N35" s="13"/>
      <c r="O35" s="13"/>
      <c r="P35" s="13"/>
      <c r="Q35" s="13"/>
      <c r="R35" s="13"/>
      <c r="S35" s="13"/>
      <c r="T35" s="13"/>
      <c r="U35" s="13">
        <v>0</v>
      </c>
      <c r="V35" s="13">
        <v>0</v>
      </c>
      <c r="W35" s="13">
        <v>0</v>
      </c>
      <c r="X35" s="13">
        <v>0</v>
      </c>
      <c r="Y35" s="13">
        <f>(1 - CUSTOS!$M$29)*223.0094</f>
        <v>223.0094</v>
      </c>
      <c r="Z35" s="13">
        <v>0</v>
      </c>
      <c r="AA35" s="13">
        <v>0</v>
      </c>
      <c r="AB35" s="13"/>
      <c r="AC35" s="13">
        <f>(1 - CUSTOS!$M$29)*1016.2612</f>
        <v>1016.2612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/>
      <c r="M36" s="13"/>
      <c r="N36" s="13"/>
      <c r="O36" s="13"/>
      <c r="P36" s="13"/>
      <c r="Q36" s="13"/>
      <c r="R36" s="13"/>
      <c r="S36" s="13"/>
      <c r="T36" s="13"/>
      <c r="U36" s="13">
        <v>0</v>
      </c>
      <c r="V36" s="13">
        <v>0</v>
      </c>
      <c r="W36" s="13">
        <v>0</v>
      </c>
      <c r="X36" s="13">
        <v>0</v>
      </c>
      <c r="Y36" s="13">
        <f>(1 - CUSTOS!$M$29)*74.3528</f>
        <v>74.352800000000002</v>
      </c>
      <c r="Z36" s="13">
        <v>0</v>
      </c>
      <c r="AA36" s="13">
        <v>0</v>
      </c>
      <c r="AB36" s="13"/>
      <c r="AC36" s="13">
        <f>(1 - CUSTOS!$M$29)*338.7539</f>
        <v>338.75389999999999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/>
      <c r="M37" s="13"/>
      <c r="N37" s="13"/>
      <c r="O37" s="13"/>
      <c r="P37" s="13"/>
      <c r="Q37" s="13"/>
      <c r="R37" s="13"/>
      <c r="S37" s="13"/>
      <c r="T37" s="13"/>
      <c r="U37" s="13">
        <v>0</v>
      </c>
      <c r="V37" s="13">
        <v>0</v>
      </c>
      <c r="W37" s="13">
        <v>0</v>
      </c>
      <c r="X37" s="13">
        <v>0</v>
      </c>
      <c r="Y37" s="13">
        <f>(1 - CUSTOS!$M$29)*109.3425</f>
        <v>109.3425</v>
      </c>
      <c r="Z37" s="13">
        <v>0</v>
      </c>
      <c r="AA37" s="13">
        <v>0</v>
      </c>
      <c r="AB37" s="13"/>
      <c r="AC37" s="13">
        <f>(1 - CUSTOS!$M$29)*498.1673</f>
        <v>498.16730000000001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/>
      <c r="M38" s="13"/>
      <c r="N38" s="13"/>
      <c r="O38" s="13"/>
      <c r="P38" s="13"/>
      <c r="Q38" s="13"/>
      <c r="R38" s="13"/>
      <c r="S38" s="13"/>
      <c r="T38" s="13"/>
      <c r="U38" s="13">
        <v>0</v>
      </c>
      <c r="V38" s="13">
        <v>0</v>
      </c>
      <c r="W38" s="13">
        <v>0</v>
      </c>
      <c r="X38" s="13">
        <v>0</v>
      </c>
      <c r="Y38" s="13">
        <f>(1 - CUSTOS!$M$30)*371.666</f>
        <v>371.666</v>
      </c>
      <c r="Z38" s="13">
        <v>0</v>
      </c>
      <c r="AA38" s="13">
        <v>0</v>
      </c>
      <c r="AB38" s="13"/>
      <c r="AC38" s="13">
        <f>(1 - CUSTOS!$M$30)*1693.7691</f>
        <v>1693.7691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/>
      <c r="M39" s="13"/>
      <c r="N39" s="13"/>
      <c r="O39" s="13"/>
      <c r="P39" s="13"/>
      <c r="Q39" s="13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>
        <f>(1 - CUSTOS!$M$30)*223.0094</f>
        <v>223.0094</v>
      </c>
      <c r="Z39" s="13">
        <v>0</v>
      </c>
      <c r="AA39" s="13">
        <v>0</v>
      </c>
      <c r="AB39" s="13"/>
      <c r="AC39" s="13">
        <f>(1 - CUSTOS!$M$30)*1016.2612</f>
        <v>1016.2612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/>
      <c r="M40" s="13"/>
      <c r="N40" s="13"/>
      <c r="O40" s="13"/>
      <c r="P40" s="13"/>
      <c r="Q40" s="13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>
        <f>(1 - CUSTOS!$M$30)*74.3528</f>
        <v>74.352800000000002</v>
      </c>
      <c r="Z40" s="13">
        <v>0</v>
      </c>
      <c r="AA40" s="13">
        <v>0</v>
      </c>
      <c r="AB40" s="13"/>
      <c r="AC40" s="13">
        <f>(1 - CUSTOS!$M$30)*338.7539</f>
        <v>338.75389999999999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/>
      <c r="M41" s="13"/>
      <c r="N41" s="13"/>
      <c r="O41" s="13"/>
      <c r="P41" s="13"/>
      <c r="Q41" s="13"/>
      <c r="R41" s="13"/>
      <c r="S41" s="13"/>
      <c r="T41" s="13"/>
      <c r="U41" s="13">
        <v>0</v>
      </c>
      <c r="V41" s="13">
        <v>0</v>
      </c>
      <c r="W41" s="13">
        <v>0</v>
      </c>
      <c r="X41" s="13">
        <v>0</v>
      </c>
      <c r="Y41" s="13">
        <f>(1 - CUSTOS!$M$30)*109.3425</f>
        <v>109.3425</v>
      </c>
      <c r="Z41" s="13">
        <v>0</v>
      </c>
      <c r="AA41" s="13">
        <v>0</v>
      </c>
      <c r="AB41" s="13"/>
      <c r="AC41" s="13">
        <f>(1 - CUSTOS!$M$30)*498.1673</f>
        <v>498.16730000000001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/>
      <c r="M42" s="13"/>
      <c r="N42" s="13"/>
      <c r="O42" s="13"/>
      <c r="P42" s="13"/>
      <c r="Q42" s="13"/>
      <c r="R42" s="13"/>
      <c r="S42" s="13"/>
      <c r="T42" s="13"/>
      <c r="U42" s="13">
        <v>0</v>
      </c>
      <c r="V42" s="13">
        <v>0</v>
      </c>
      <c r="W42" s="13">
        <v>0</v>
      </c>
      <c r="X42" s="13">
        <v>0</v>
      </c>
      <c r="Y42" s="13">
        <f>(1 - CUSTOS!$M$28)*109.3425</f>
        <v>109.3425</v>
      </c>
      <c r="Z42" s="13">
        <v>0</v>
      </c>
      <c r="AA42" s="13">
        <v>0</v>
      </c>
      <c r="AB42" s="13"/>
      <c r="AC42" s="13">
        <f>(1 - CUSTOS!$M$28)*498.1673</f>
        <v>498.16730000000001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/>
      <c r="M43" s="13"/>
      <c r="N43" s="13"/>
      <c r="O43" s="13"/>
      <c r="P43" s="13"/>
      <c r="Q43" s="13"/>
      <c r="R43" s="13"/>
      <c r="S43" s="13"/>
      <c r="T43" s="13"/>
      <c r="U43" s="13">
        <v>0</v>
      </c>
      <c r="V43" s="13">
        <v>0</v>
      </c>
      <c r="W43" s="13">
        <v>0</v>
      </c>
      <c r="X43" s="13">
        <v>0</v>
      </c>
      <c r="Y43" s="13">
        <f>(1 - CUSTOS!$M$29)*109.3425</f>
        <v>109.3425</v>
      </c>
      <c r="Z43" s="13">
        <v>0</v>
      </c>
      <c r="AA43" s="13">
        <v>0</v>
      </c>
      <c r="AB43" s="13"/>
      <c r="AC43" s="13">
        <f>(1 - CUSTOS!$M$29)*498.1673</f>
        <v>498.16730000000001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/>
      <c r="M44" s="13"/>
      <c r="N44" s="13"/>
      <c r="O44" s="13"/>
      <c r="P44" s="13"/>
      <c r="Q44" s="13"/>
      <c r="R44" s="13"/>
      <c r="S44" s="13"/>
      <c r="T44" s="13"/>
      <c r="U44" s="13">
        <v>0</v>
      </c>
      <c r="V44" s="13">
        <v>0</v>
      </c>
      <c r="W44" s="13">
        <v>0</v>
      </c>
      <c r="X44" s="13">
        <v>0</v>
      </c>
      <c r="Y44" s="13">
        <f>(1 - CUSTOS!$M$30)*109.3425</f>
        <v>109.3425</v>
      </c>
      <c r="Z44" s="13">
        <v>0</v>
      </c>
      <c r="AA44" s="13">
        <v>0</v>
      </c>
      <c r="AB44" s="13"/>
      <c r="AC44" s="13">
        <f>(1 - CUSTOS!$M$30)*498.1673</f>
        <v>498.16730000000001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/>
      <c r="M45" s="13"/>
      <c r="N45" s="13"/>
      <c r="O45" s="13"/>
      <c r="P45" s="13"/>
      <c r="Q45" s="13"/>
      <c r="R45" s="13"/>
      <c r="S45" s="13"/>
      <c r="T45" s="13"/>
      <c r="U45" s="13">
        <v>0</v>
      </c>
      <c r="V45" s="13">
        <v>0</v>
      </c>
      <c r="W45" s="13">
        <v>0</v>
      </c>
      <c r="X45" s="13">
        <v>0</v>
      </c>
      <c r="Y45" s="13">
        <f>(1 - CUSTOS!$M$31)*377.1699</f>
        <v>377.16989999999998</v>
      </c>
      <c r="Z45" s="13">
        <v>0</v>
      </c>
      <c r="AA45" s="13">
        <v>0</v>
      </c>
      <c r="AB45" s="13"/>
      <c r="AC45" s="13">
        <f>(1 - CUSTOS!$M$31)*1718.6772</f>
        <v>1718.6772000000001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/>
      <c r="M46" s="13"/>
      <c r="N46" s="13"/>
      <c r="O46" s="13"/>
      <c r="P46" s="13"/>
      <c r="Q46" s="13"/>
      <c r="R46" s="13"/>
      <c r="S46" s="13"/>
      <c r="T46" s="13"/>
      <c r="U46" s="13">
        <v>0</v>
      </c>
      <c r="V46" s="13">
        <v>0</v>
      </c>
      <c r="W46" s="13">
        <v>0</v>
      </c>
      <c r="X46" s="13">
        <v>0</v>
      </c>
      <c r="Y46" s="13">
        <f>(1 - CUSTOS!$M$31)*226.2528</f>
        <v>226.25280000000001</v>
      </c>
      <c r="Z46" s="13">
        <v>0</v>
      </c>
      <c r="AA46" s="13">
        <v>0</v>
      </c>
      <c r="AB46" s="13"/>
      <c r="AC46" s="13">
        <f>(1 - CUSTOS!$M$31)*1031.2064</f>
        <v>1031.2064</v>
      </c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/>
      <c r="M47" s="13"/>
      <c r="N47" s="13"/>
      <c r="O47" s="13"/>
      <c r="P47" s="13"/>
      <c r="Q47" s="13"/>
      <c r="R47" s="13"/>
      <c r="S47" s="13"/>
      <c r="T47" s="13"/>
      <c r="U47" s="13">
        <v>0</v>
      </c>
      <c r="V47" s="13">
        <v>0</v>
      </c>
      <c r="W47" s="13">
        <v>0</v>
      </c>
      <c r="X47" s="13">
        <v>0</v>
      </c>
      <c r="Y47" s="13">
        <f>(1 - CUSTOS!$M$31)*75.434</f>
        <v>75.433999999999997</v>
      </c>
      <c r="Z47" s="13">
        <v>0</v>
      </c>
      <c r="AA47" s="13">
        <v>0</v>
      </c>
      <c r="AB47" s="13"/>
      <c r="AC47" s="13">
        <f>(1 - CUSTOS!$M$31)*343.7354</f>
        <v>343.73540000000003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/>
      <c r="M48" s="13"/>
      <c r="N48" s="13"/>
      <c r="O48" s="13"/>
      <c r="P48" s="13"/>
      <c r="Q48" s="13"/>
      <c r="R48" s="13"/>
      <c r="S48" s="13"/>
      <c r="T48" s="13"/>
      <c r="U48" s="13">
        <v>0</v>
      </c>
      <c r="V48" s="13">
        <v>0</v>
      </c>
      <c r="W48" s="13">
        <v>0</v>
      </c>
      <c r="X48" s="13">
        <v>0</v>
      </c>
      <c r="Y48" s="13">
        <f>(1 - CUSTOS!$M$31)*109.3425</f>
        <v>109.3425</v>
      </c>
      <c r="Z48" s="13">
        <v>0</v>
      </c>
      <c r="AA48" s="13">
        <v>0</v>
      </c>
      <c r="AB48" s="13"/>
      <c r="AC48" s="13">
        <f>(1 - CUSTOS!$M$31)*498.1673</f>
        <v>498.16730000000001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/>
      <c r="M49" s="13"/>
      <c r="N49" s="13"/>
      <c r="O49" s="13"/>
      <c r="P49" s="13"/>
      <c r="Q49" s="13"/>
      <c r="R49" s="13"/>
      <c r="S49" s="13"/>
      <c r="T49" s="13"/>
      <c r="U49" s="13">
        <v>0</v>
      </c>
      <c r="V49" s="13">
        <v>0</v>
      </c>
      <c r="W49" s="13">
        <v>0</v>
      </c>
      <c r="X49" s="13">
        <v>0</v>
      </c>
      <c r="Y49" s="13">
        <f>(1 - CUSTOS!$M$31)*109.3425</f>
        <v>109.3425</v>
      </c>
      <c r="Z49" s="13">
        <v>0</v>
      </c>
      <c r="AA49" s="13">
        <v>0</v>
      </c>
      <c r="AB49" s="13"/>
      <c r="AC49" s="13">
        <f>(1 - CUSTOS!$M$31)*498.1673</f>
        <v>498.16730000000001</v>
      </c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/>
      <c r="M50" s="13"/>
      <c r="N50" s="13"/>
      <c r="O50" s="13"/>
      <c r="P50" s="13"/>
      <c r="Q50" s="13"/>
      <c r="R50" s="13"/>
      <c r="S50" s="13"/>
      <c r="T50" s="13"/>
      <c r="U50" s="13">
        <v>0</v>
      </c>
      <c r="V50" s="13">
        <v>0</v>
      </c>
      <c r="W50" s="13">
        <v>0</v>
      </c>
      <c r="X50" s="13">
        <v>0</v>
      </c>
      <c r="Y50" s="13">
        <f>(1 - CUSTOS!$M$32)*109.3425</f>
        <v>60.138375000000003</v>
      </c>
      <c r="Z50" s="13">
        <v>0</v>
      </c>
      <c r="AA50" s="13">
        <v>0</v>
      </c>
      <c r="AB50" s="13"/>
      <c r="AC50" s="13">
        <f>(1 - CUSTOS!$M$32)*498.1673</f>
        <v>273.99201500000004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/>
      <c r="M51" s="13"/>
      <c r="N51" s="13"/>
      <c r="O51" s="13"/>
      <c r="P51" s="13"/>
      <c r="Q51" s="13"/>
      <c r="R51" s="13"/>
      <c r="S51" s="13"/>
      <c r="T51" s="13"/>
      <c r="U51" s="13">
        <v>0</v>
      </c>
      <c r="V51" s="13">
        <v>0</v>
      </c>
      <c r="W51" s="13">
        <v>0</v>
      </c>
      <c r="X51" s="13">
        <v>0</v>
      </c>
      <c r="Y51" s="13">
        <f>(1 - CUSTOS!$M$33)*109.3425</f>
        <v>65.605499999999992</v>
      </c>
      <c r="Z51" s="13">
        <v>0</v>
      </c>
      <c r="AA51" s="13">
        <v>0</v>
      </c>
      <c r="AB51" s="13"/>
      <c r="AC51" s="13">
        <f>(1 - CUSTOS!$M$33)*498.1673</f>
        <v>298.90037999999998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P51" s="13">
        <f>IF((1 - CUSTOS!$M$33)&lt;&gt;0,1/(1 - CUSTOS!$M$33),1)</f>
        <v>1.6666666666666667</v>
      </c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5D6C-2C4C-4884-8A96-2DEB32174C16}">
  <dimension ref="A1:AP70"/>
  <sheetViews>
    <sheetView showGridLines="0" topLeftCell="A30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9.28515625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501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P1" s="104" t="s">
        <v>502</v>
      </c>
    </row>
    <row r="2" spans="1:42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P2" s="105"/>
    </row>
    <row r="3" spans="1:42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/>
      <c r="U3" s="104" t="s">
        <v>409</v>
      </c>
      <c r="V3" s="104"/>
      <c r="W3" s="104"/>
      <c r="X3" s="104"/>
      <c r="Y3" s="104"/>
      <c r="Z3" s="104"/>
      <c r="AA3" s="104"/>
      <c r="AB3" s="104"/>
      <c r="AC3" s="104" t="s">
        <v>417</v>
      </c>
      <c r="AD3" s="104"/>
      <c r="AE3" s="104" t="s">
        <v>419</v>
      </c>
      <c r="AF3" s="104"/>
      <c r="AG3" s="104"/>
      <c r="AH3" s="104" t="s">
        <v>422</v>
      </c>
      <c r="AI3" s="104"/>
      <c r="AJ3" s="104"/>
      <c r="AK3" s="104"/>
      <c r="AL3" s="104"/>
      <c r="AM3" s="104" t="s">
        <v>408</v>
      </c>
      <c r="AP3" s="105"/>
    </row>
    <row r="4" spans="1:42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408</v>
      </c>
      <c r="U4" s="10" t="s">
        <v>410</v>
      </c>
      <c r="V4" s="10" t="s">
        <v>411</v>
      </c>
      <c r="W4" s="10" t="s">
        <v>412</v>
      </c>
      <c r="X4" s="10" t="s">
        <v>413</v>
      </c>
      <c r="Y4" s="10" t="s">
        <v>414</v>
      </c>
      <c r="Z4" s="10" t="s">
        <v>415</v>
      </c>
      <c r="AA4" s="10" t="s">
        <v>416</v>
      </c>
      <c r="AB4" s="10" t="s">
        <v>408</v>
      </c>
      <c r="AC4" s="10" t="s">
        <v>418</v>
      </c>
      <c r="AD4" s="10" t="s">
        <v>408</v>
      </c>
      <c r="AE4" s="10" t="s">
        <v>420</v>
      </c>
      <c r="AF4" s="10" t="s">
        <v>421</v>
      </c>
      <c r="AG4" s="10" t="s">
        <v>408</v>
      </c>
      <c r="AH4" s="10" t="s">
        <v>423</v>
      </c>
      <c r="AI4" s="10" t="s">
        <v>424</v>
      </c>
      <c r="AJ4" s="10" t="s">
        <v>425</v>
      </c>
      <c r="AK4" s="10" t="s">
        <v>426</v>
      </c>
      <c r="AL4" s="10" t="s">
        <v>408</v>
      </c>
      <c r="AM4" s="106"/>
      <c r="AP4" s="105"/>
    </row>
    <row r="5" spans="1:42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/>
      <c r="U5" s="13">
        <f>TRANSICAO!$U$5*CUSTOS!$R$3</f>
        <v>0</v>
      </c>
      <c r="V5" s="13">
        <f>TRANSICAO!$V$5*CUSTOS!$R$3</f>
        <v>0</v>
      </c>
      <c r="W5" s="13">
        <f>TRANSICAO!$W$5*CUSTOS!$R$3</f>
        <v>0</v>
      </c>
      <c r="X5" s="13">
        <f>TRANSICAO!$X$5*CUSTOS!$R$3</f>
        <v>0</v>
      </c>
      <c r="Y5" s="13">
        <f>TRANSICAO!$Y$5*CUSTOS!$R$3</f>
        <v>26.193100000000001</v>
      </c>
      <c r="Z5" s="13">
        <f>TRANSICAO!$Z$5*CUSTOS!$R$3</f>
        <v>0</v>
      </c>
      <c r="AA5" s="13">
        <f>TRANSICAO!$AA$5*CUSTOS!$R$3</f>
        <v>0</v>
      </c>
      <c r="AB5" s="13">
        <f>TRANSICAO!$AB$5*CUSTOS!$R$3</f>
        <v>0</v>
      </c>
      <c r="AC5" s="13">
        <f>TRANSICAO!$AC$5*CUSTOS!$R$3</f>
        <v>57.262700000000002</v>
      </c>
      <c r="AD5" s="13">
        <f>TRANSICAO!$AD$5*CUSTOS!$R$3</f>
        <v>0</v>
      </c>
      <c r="AE5" s="13">
        <v>0</v>
      </c>
      <c r="AF5" s="13">
        <v>0</v>
      </c>
      <c r="AG5" s="13"/>
      <c r="AH5" s="13">
        <v>0</v>
      </c>
      <c r="AI5" s="13">
        <v>0</v>
      </c>
      <c r="AJ5" s="13">
        <v>0</v>
      </c>
      <c r="AK5" s="13">
        <f t="shared" ref="AK5:AK51" si="0">AJ5</f>
        <v>0</v>
      </c>
      <c r="AL5" s="13"/>
      <c r="AM5" s="13"/>
      <c r="AP5" s="13">
        <v>1</v>
      </c>
    </row>
    <row r="6" spans="1:42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3">
        <f>TRANSICAO!$U$6*CUSTOS!$R$3</f>
        <v>0</v>
      </c>
      <c r="V6" s="13">
        <f>TRANSICAO!$V$6*CUSTOS!$R$3</f>
        <v>0</v>
      </c>
      <c r="W6" s="13">
        <f>TRANSICAO!$W$6*CUSTOS!$R$3</f>
        <v>0</v>
      </c>
      <c r="X6" s="13">
        <f>TRANSICAO!$X$6*CUSTOS!$R$3</f>
        <v>0</v>
      </c>
      <c r="Y6" s="13">
        <f>TRANSICAO!$Y$6*CUSTOS!$R$3</f>
        <v>13.170299999999999</v>
      </c>
      <c r="Z6" s="13">
        <f>TRANSICAO!$Z$6*CUSTOS!$R$3</f>
        <v>0</v>
      </c>
      <c r="AA6" s="13">
        <f>TRANSICAO!$AA$6*CUSTOS!$R$3</f>
        <v>0</v>
      </c>
      <c r="AB6" s="13">
        <f>TRANSICAO!$AB$6*CUSTOS!$R$3</f>
        <v>0</v>
      </c>
      <c r="AC6" s="13">
        <f>TRANSICAO!$AC$6*CUSTOS!$R$3</f>
        <v>26.384899999999998</v>
      </c>
      <c r="AD6" s="13">
        <f>TRANSICAO!$AD$6*CUSTOS!$R$3</f>
        <v>0</v>
      </c>
      <c r="AE6" s="13">
        <v>0</v>
      </c>
      <c r="AF6" s="13">
        <v>0</v>
      </c>
      <c r="AG6" s="13"/>
      <c r="AH6" s="13">
        <v>0</v>
      </c>
      <c r="AI6" s="13">
        <v>0</v>
      </c>
      <c r="AJ6" s="13">
        <v>0</v>
      </c>
      <c r="AK6" s="13">
        <f t="shared" si="0"/>
        <v>0</v>
      </c>
      <c r="AL6" s="13"/>
      <c r="AM6" s="13"/>
      <c r="AP6" s="13">
        <v>1</v>
      </c>
    </row>
    <row r="7" spans="1:42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>
        <f>0.84</f>
        <v>0.84</v>
      </c>
      <c r="M7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7" s="13">
        <f ca="1">(+M7+O7+R7+U7+V7+W7+X7+Y7+Z7+AA7+AC7+AH7+AI7+AJ7+AK7)*CUSTOS!$M$5</f>
        <v>8.2373850659357064E-14</v>
      </c>
      <c r="O7" s="13">
        <v>1</v>
      </c>
      <c r="P7" s="13">
        <v>1</v>
      </c>
      <c r="Q7" s="13">
        <f>0.84</f>
        <v>0.84</v>
      </c>
      <c r="R7" s="13">
        <v>1</v>
      </c>
      <c r="S7" s="13">
        <v>1</v>
      </c>
      <c r="T7" s="13"/>
      <c r="U7" s="13">
        <f>TRANSICAO!$U$7*CUSTOS!$R$3</f>
        <v>0</v>
      </c>
      <c r="V7" s="13">
        <f>TRANSICAO!$V$7*CUSTOS!$R$3</f>
        <v>0</v>
      </c>
      <c r="W7" s="13">
        <f>TRANSICAO!$W$7*CUSTOS!$R$3</f>
        <v>0</v>
      </c>
      <c r="X7" s="13">
        <f>TRANSICAO!$X$7*CUSTOS!$R$3</f>
        <v>0</v>
      </c>
      <c r="Y7" s="13">
        <f>TRANSICAO!$Y$7*CUSTOS!$R$3</f>
        <v>0</v>
      </c>
      <c r="Z7" s="13">
        <f>TRANSICAO!$Z$7*CUSTOS!$R$3</f>
        <v>0</v>
      </c>
      <c r="AA7" s="13">
        <f>TRANSICAO!$AA$7*CUSTOS!$R$3</f>
        <v>0</v>
      </c>
      <c r="AB7" s="13">
        <f>TRANSICAO!$AB$7*CUSTOS!$R$3</f>
        <v>0</v>
      </c>
      <c r="AC7" s="13">
        <f>TRANSICAO!$AC$7*CUSTOS!$R$3</f>
        <v>0</v>
      </c>
      <c r="AD7" s="13">
        <f>TRANSICAO!$AD$7*CUSTOS!$R$3</f>
        <v>0</v>
      </c>
      <c r="AE7" s="13">
        <v>0</v>
      </c>
      <c r="AF7" s="13">
        <v>0</v>
      </c>
      <c r="AG7" s="13"/>
      <c r="AH7" s="13">
        <v>5.1916000000000002</v>
      </c>
      <c r="AI7" s="13">
        <v>0</v>
      </c>
      <c r="AJ7" s="13">
        <f ca="1">$N$63</f>
        <v>0</v>
      </c>
      <c r="AK7" s="13">
        <f t="shared" ca="1" si="0"/>
        <v>0</v>
      </c>
      <c r="AL7" s="13"/>
      <c r="AM7" s="13"/>
      <c r="AP7" s="13">
        <v>1</v>
      </c>
    </row>
    <row r="8" spans="1:42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>
        <v>0</v>
      </c>
      <c r="M8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8" s="13">
        <f ca="1">(+M8+O8+R8+U8+V8+W8+X8+Y8+Z8+AA8+AC8+AH8+AI8+AJ8+AK8)*CUSTOS!$M$5</f>
        <v>7.2373850659357068E-14</v>
      </c>
      <c r="O8" s="13">
        <v>1</v>
      </c>
      <c r="P8" s="13">
        <v>0</v>
      </c>
      <c r="Q8" s="13">
        <v>0</v>
      </c>
      <c r="R8" s="13">
        <v>0</v>
      </c>
      <c r="S8" s="13">
        <v>0</v>
      </c>
      <c r="T8" s="13"/>
      <c r="U8" s="13">
        <f>TRANSICAO!$U$8*CUSTOS!$R$3</f>
        <v>0</v>
      </c>
      <c r="V8" s="13">
        <f>TRANSICAO!$V$8*CUSTOS!$R$3</f>
        <v>0</v>
      </c>
      <c r="W8" s="13">
        <f>TRANSICAO!$W$8*CUSTOS!$R$3</f>
        <v>0</v>
      </c>
      <c r="X8" s="13">
        <f>TRANSICAO!$X$8*CUSTOS!$R$3</f>
        <v>0</v>
      </c>
      <c r="Y8" s="13">
        <f>TRANSICAO!$Y$8*CUSTOS!$R$3</f>
        <v>0</v>
      </c>
      <c r="Z8" s="13">
        <f>TRANSICAO!$Z$8*CUSTOS!$R$3</f>
        <v>0</v>
      </c>
      <c r="AA8" s="13">
        <f>TRANSICAO!$AA$8*CUSTOS!$R$3</f>
        <v>0</v>
      </c>
      <c r="AB8" s="13">
        <f>TRANSICAO!$AB$8*CUSTOS!$R$3</f>
        <v>0</v>
      </c>
      <c r="AC8" s="13">
        <f>TRANSICAO!$AC$8*CUSTOS!$R$3</f>
        <v>0</v>
      </c>
      <c r="AD8" s="13">
        <f>TRANSICAO!$AD$8*CUSTOS!$R$3</f>
        <v>0</v>
      </c>
      <c r="AE8" s="13">
        <v>0</v>
      </c>
      <c r="AF8" s="13">
        <v>0</v>
      </c>
      <c r="AG8" s="13"/>
      <c r="AH8" s="13">
        <v>5.1916000000000002</v>
      </c>
      <c r="AI8" s="13">
        <v>0</v>
      </c>
      <c r="AJ8" s="13">
        <f ca="1">$N$63</f>
        <v>0</v>
      </c>
      <c r="AK8" s="13">
        <f t="shared" ca="1" si="0"/>
        <v>0</v>
      </c>
      <c r="AL8" s="13"/>
      <c r="AM8" s="13"/>
      <c r="AP8" s="13">
        <v>1</v>
      </c>
    </row>
    <row r="9" spans="1:42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>
        <v>0</v>
      </c>
      <c r="M9" s="13">
        <v>1.3599999999999999E-2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3">
        <f>TRANSICAO!$U$9*CUSTOS!$R$4</f>
        <v>0</v>
      </c>
      <c r="V9" s="13">
        <f>TRANSICAO!$V$9*CUSTOS!$R$4</f>
        <v>0</v>
      </c>
      <c r="W9" s="13">
        <f>TRANSICAO!$W$9*CUSTOS!$R$4</f>
        <v>0</v>
      </c>
      <c r="X9" s="13">
        <f>TRANSICAO!$X$9*CUSTOS!$R$4</f>
        <v>0</v>
      </c>
      <c r="Y9" s="13">
        <f>TRANSICAO!$Y$9*CUSTOS!$R$4</f>
        <v>0</v>
      </c>
      <c r="Z9" s="13">
        <f>TRANSICAO!$Z$9*CUSTOS!$R$4</f>
        <v>0</v>
      </c>
      <c r="AA9" s="13">
        <f>TRANSICAO!$AA$9*CUSTOS!$R$4</f>
        <v>0</v>
      </c>
      <c r="AB9" s="13">
        <f>TRANSICAO!$AB$9*CUSTOS!$R$4</f>
        <v>0</v>
      </c>
      <c r="AC9" s="13">
        <f>TRANSICAO!$AC$9*CUSTOS!$R$4</f>
        <v>13.668900000000001</v>
      </c>
      <c r="AD9" s="13">
        <f>TRANSICAO!$AD$9*CUSTOS!$R$4</f>
        <v>0</v>
      </c>
      <c r="AE9" s="13">
        <v>0</v>
      </c>
      <c r="AF9" s="13">
        <v>0</v>
      </c>
      <c r="AG9" s="13"/>
      <c r="AH9" s="13">
        <v>0</v>
      </c>
      <c r="AI9" s="13">
        <v>0</v>
      </c>
      <c r="AJ9" s="13">
        <v>0</v>
      </c>
      <c r="AK9" s="13">
        <f t="shared" si="0"/>
        <v>0</v>
      </c>
      <c r="AL9" s="13"/>
      <c r="AM9" s="13"/>
      <c r="AP9" s="13"/>
    </row>
    <row r="10" spans="1:42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3">
        <f>TRANSICAO!$U$10*CUSTOS!$R$3</f>
        <v>0</v>
      </c>
      <c r="V10" s="13">
        <f>TRANSICAO!$V$10*CUSTOS!$R$3</f>
        <v>0</v>
      </c>
      <c r="W10" s="13">
        <f>TRANSICAO!$W$10*CUSTOS!$R$3</f>
        <v>0</v>
      </c>
      <c r="X10" s="13">
        <f>TRANSICAO!$X$10*CUSTOS!$R$3</f>
        <v>0</v>
      </c>
      <c r="Y10" s="13">
        <f>TRANSICAO!$Y$10*CUSTOS!$R$3</f>
        <v>13.170299999999999</v>
      </c>
      <c r="Z10" s="13">
        <f>TRANSICAO!$Z$10*CUSTOS!$R$3</f>
        <v>0</v>
      </c>
      <c r="AA10" s="13">
        <f>TRANSICAO!$AA$10*CUSTOS!$R$3</f>
        <v>0</v>
      </c>
      <c r="AB10" s="13">
        <f>TRANSICAO!$AB$10*CUSTOS!$R$3</f>
        <v>0</v>
      </c>
      <c r="AC10" s="13">
        <f>TRANSICAO!$AC$10*CUSTOS!$R$3</f>
        <v>26.384899999999998</v>
      </c>
      <c r="AD10" s="13">
        <f>TRANSICAO!$AD$10*CUSTOS!$R$3</f>
        <v>0</v>
      </c>
      <c r="AE10" s="13">
        <v>0</v>
      </c>
      <c r="AF10" s="13">
        <v>0</v>
      </c>
      <c r="AG10" s="13"/>
      <c r="AH10" s="13">
        <v>0</v>
      </c>
      <c r="AI10" s="13">
        <v>0</v>
      </c>
      <c r="AJ10" s="13">
        <v>0</v>
      </c>
      <c r="AK10" s="13">
        <f t="shared" si="0"/>
        <v>0</v>
      </c>
      <c r="AL10" s="13"/>
      <c r="AM10" s="13"/>
      <c r="AP10" s="13">
        <v>1</v>
      </c>
    </row>
    <row r="11" spans="1:42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>
        <f>0.84</f>
        <v>0.84</v>
      </c>
      <c r="M11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11" s="13">
        <f ca="1">(+M11+O11+R11+U11+V11+W11+X11+Y11+Z11+AA11+AC11+AH11+AI11+AJ11+AK11)*CUSTOS!$M$5</f>
        <v>2.015410085065936E-11</v>
      </c>
      <c r="O11" s="13">
        <v>1</v>
      </c>
      <c r="P11" s="13">
        <v>1</v>
      </c>
      <c r="Q11" s="13">
        <f>0.84</f>
        <v>0.84</v>
      </c>
      <c r="R11" s="13">
        <v>1</v>
      </c>
      <c r="S11" s="13">
        <v>1</v>
      </c>
      <c r="T11" s="13"/>
      <c r="U11" s="13">
        <f>TRANSICAO!$U$11*CUSTOS!$R$3</f>
        <v>0</v>
      </c>
      <c r="V11" s="13">
        <f>TRANSICAO!$V$11*CUSTOS!$R$3</f>
        <v>0</v>
      </c>
      <c r="W11" s="13">
        <f>TRANSICAO!$W$11*CUSTOS!$R$3</f>
        <v>0</v>
      </c>
      <c r="X11" s="13">
        <f>TRANSICAO!$X$11*CUSTOS!$R$3</f>
        <v>0</v>
      </c>
      <c r="Y11" s="13">
        <f>TRANSICAO!$Y$11*CUSTOS!$R$3</f>
        <v>630.00890000000004</v>
      </c>
      <c r="Z11" s="13">
        <f>TRANSICAO!$Z$11*CUSTOS!$R$3</f>
        <v>0</v>
      </c>
      <c r="AA11" s="13">
        <f>TRANSICAO!$AA$11*CUSTOS!$R$3</f>
        <v>0</v>
      </c>
      <c r="AB11" s="13">
        <f>TRANSICAO!$AB$11*CUSTOS!$R$3</f>
        <v>0</v>
      </c>
      <c r="AC11" s="13">
        <f>TRANSICAO!$AC$11*CUSTOS!$R$3</f>
        <v>1377.1638</v>
      </c>
      <c r="AD11" s="13">
        <f>TRANSICAO!$AD$11*CUSTOS!$R$3</f>
        <v>0</v>
      </c>
      <c r="AE11" s="13">
        <v>0</v>
      </c>
      <c r="AF11" s="13">
        <v>0</v>
      </c>
      <c r="AG11" s="13"/>
      <c r="AH11" s="13">
        <v>5.1916000000000002</v>
      </c>
      <c r="AI11" s="13">
        <v>0</v>
      </c>
      <c r="AJ11" s="13">
        <f ca="1">$N$63</f>
        <v>0</v>
      </c>
      <c r="AK11" s="13">
        <f t="shared" ca="1" si="0"/>
        <v>0</v>
      </c>
      <c r="AL11" s="13"/>
      <c r="AM11" s="13"/>
      <c r="AP11" s="13">
        <v>1</v>
      </c>
    </row>
    <row r="12" spans="1:42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>
        <f>0.84</f>
        <v>0.84</v>
      </c>
      <c r="M12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12" s="13">
        <f ca="1">(+M12+O12+R12+U12+V12+W12+X12+Y12+Z12+AA12+AC12+AH12+AI12+AJ12+AK12)*CUSTOS!$M$5</f>
        <v>8.2373850659357064E-14</v>
      </c>
      <c r="O12" s="13">
        <v>1</v>
      </c>
      <c r="P12" s="13">
        <v>1</v>
      </c>
      <c r="Q12" s="13">
        <f>0.84</f>
        <v>0.84</v>
      </c>
      <c r="R12" s="13">
        <v>1</v>
      </c>
      <c r="S12" s="13">
        <v>1</v>
      </c>
      <c r="T12" s="13"/>
      <c r="U12" s="13">
        <f>TRANSICAO!$U$12*CUSTOS!$R$3</f>
        <v>0</v>
      </c>
      <c r="V12" s="13">
        <f>TRANSICAO!$V$12*CUSTOS!$R$3</f>
        <v>0</v>
      </c>
      <c r="W12" s="13">
        <f>TRANSICAO!$W$12*CUSTOS!$R$3</f>
        <v>0</v>
      </c>
      <c r="X12" s="13">
        <f>TRANSICAO!$X$12*CUSTOS!$R$3</f>
        <v>0</v>
      </c>
      <c r="Y12" s="13">
        <f>TRANSICAO!$Y$12*CUSTOS!$R$3</f>
        <v>0</v>
      </c>
      <c r="Z12" s="13">
        <f>TRANSICAO!$Z$12*CUSTOS!$R$3</f>
        <v>0</v>
      </c>
      <c r="AA12" s="13">
        <f>TRANSICAO!$AA$12*CUSTOS!$R$3</f>
        <v>0</v>
      </c>
      <c r="AB12" s="13">
        <f>TRANSICAO!$AB$12*CUSTOS!$R$3</f>
        <v>0</v>
      </c>
      <c r="AC12" s="13">
        <f>TRANSICAO!$AC$12*CUSTOS!$R$3</f>
        <v>0</v>
      </c>
      <c r="AD12" s="13">
        <f>TRANSICAO!$AD$12*CUSTOS!$R$3</f>
        <v>0</v>
      </c>
      <c r="AE12" s="13">
        <v>0</v>
      </c>
      <c r="AF12" s="13">
        <v>0</v>
      </c>
      <c r="AG12" s="13"/>
      <c r="AH12" s="13">
        <v>5.1916000000000002</v>
      </c>
      <c r="AI12" s="13">
        <v>0</v>
      </c>
      <c r="AJ12" s="13">
        <f ca="1">$N$63</f>
        <v>0</v>
      </c>
      <c r="AK12" s="13">
        <f t="shared" ca="1" si="0"/>
        <v>0</v>
      </c>
      <c r="AL12" s="13"/>
      <c r="AM12" s="13"/>
      <c r="AP12" s="13">
        <v>1</v>
      </c>
    </row>
    <row r="13" spans="1:42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>
        <v>0</v>
      </c>
      <c r="M13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13" s="13">
        <f ca="1">(+M13+O13+R13+U13+V13+W13+X13+Y13+Z13+AA13+AC13+AH13+AI13+AJ13+AK13)*CUSTOS!$M$5</f>
        <v>2.0144100850659358E-11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/>
      <c r="U13" s="13">
        <f>TRANSICAO!$U$13*CUSTOS!$R$3</f>
        <v>0</v>
      </c>
      <c r="V13" s="13">
        <f>TRANSICAO!$V$13*CUSTOS!$R$3</f>
        <v>0</v>
      </c>
      <c r="W13" s="13">
        <f>TRANSICAO!$W$13*CUSTOS!$R$3</f>
        <v>0</v>
      </c>
      <c r="X13" s="13">
        <f>TRANSICAO!$X$13*CUSTOS!$R$3</f>
        <v>0</v>
      </c>
      <c r="Y13" s="13">
        <f>TRANSICAO!$Y$13*CUSTOS!$R$3</f>
        <v>630.00890000000004</v>
      </c>
      <c r="Z13" s="13">
        <f>TRANSICAO!$Z$13*CUSTOS!$R$3</f>
        <v>0</v>
      </c>
      <c r="AA13" s="13">
        <f>TRANSICAO!$AA$13*CUSTOS!$R$3</f>
        <v>0</v>
      </c>
      <c r="AB13" s="13">
        <f>TRANSICAO!$AB$13*CUSTOS!$R$3</f>
        <v>0</v>
      </c>
      <c r="AC13" s="13">
        <f>TRANSICAO!$AC$13*CUSTOS!$R$3</f>
        <v>1377.1638</v>
      </c>
      <c r="AD13" s="13">
        <f>TRANSICAO!$AD$13*CUSTOS!$R$3</f>
        <v>0</v>
      </c>
      <c r="AE13" s="13">
        <v>0</v>
      </c>
      <c r="AF13" s="13">
        <v>0</v>
      </c>
      <c r="AG13" s="13"/>
      <c r="AH13" s="13">
        <v>5.1916000000000002</v>
      </c>
      <c r="AI13" s="13">
        <v>0</v>
      </c>
      <c r="AJ13" s="13">
        <f ca="1">$N$63</f>
        <v>0</v>
      </c>
      <c r="AK13" s="13">
        <f t="shared" ca="1" si="0"/>
        <v>0</v>
      </c>
      <c r="AL13" s="13"/>
      <c r="AM13" s="13"/>
      <c r="AP13" s="13">
        <v>1</v>
      </c>
    </row>
    <row r="14" spans="1:42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>
        <v>0</v>
      </c>
      <c r="M14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1.0457850659357064</v>
      </c>
      <c r="N14" s="13">
        <f ca="1">(+M14+O14+R14+U14+V14+W14+X14+Y14+Z14+AA14+AC14+AH14+AI14+AJ14+AK14)*CUSTOS!$M$5</f>
        <v>7.2373850659357068E-14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3"/>
      <c r="U14" s="13">
        <f>TRANSICAO!$U$14*CUSTOS!$R$3</f>
        <v>0</v>
      </c>
      <c r="V14" s="13">
        <f>TRANSICAO!$V$14*CUSTOS!$R$3</f>
        <v>0</v>
      </c>
      <c r="W14" s="13">
        <f>TRANSICAO!$W$14*CUSTOS!$R$3</f>
        <v>0</v>
      </c>
      <c r="X14" s="13">
        <f>TRANSICAO!$X$14*CUSTOS!$R$3</f>
        <v>0</v>
      </c>
      <c r="Y14" s="13">
        <f>TRANSICAO!$Y$14*CUSTOS!$R$3</f>
        <v>0</v>
      </c>
      <c r="Z14" s="13">
        <f>TRANSICAO!$Z$14*CUSTOS!$R$3</f>
        <v>0</v>
      </c>
      <c r="AA14" s="13">
        <f>TRANSICAO!$AA$14*CUSTOS!$R$3</f>
        <v>0</v>
      </c>
      <c r="AB14" s="13">
        <f>TRANSICAO!$AB$14*CUSTOS!$R$3</f>
        <v>0</v>
      </c>
      <c r="AC14" s="13">
        <f>TRANSICAO!$AC$14*CUSTOS!$R$3</f>
        <v>0</v>
      </c>
      <c r="AD14" s="13">
        <f>TRANSICAO!$AD$14*CUSTOS!$R$3</f>
        <v>0</v>
      </c>
      <c r="AE14" s="13">
        <v>0</v>
      </c>
      <c r="AF14" s="13">
        <v>0</v>
      </c>
      <c r="AG14" s="13"/>
      <c r="AH14" s="13">
        <v>5.1916000000000002</v>
      </c>
      <c r="AI14" s="13">
        <v>0</v>
      </c>
      <c r="AJ14" s="13">
        <f ca="1">$N$63</f>
        <v>0</v>
      </c>
      <c r="AK14" s="13">
        <f t="shared" ca="1" si="0"/>
        <v>0</v>
      </c>
      <c r="AL14" s="13"/>
      <c r="AM14" s="13"/>
      <c r="AP14" s="13">
        <v>1</v>
      </c>
    </row>
    <row r="15" spans="1:42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>
        <v>0</v>
      </c>
      <c r="M15" s="13">
        <v>5.4000000000000003E-3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3">
        <f>TRANSICAO!$U$15*CUSTOS!$T$4</f>
        <v>0</v>
      </c>
      <c r="V15" s="13">
        <f>TRANSICAO!$V$15*CUSTOS!$T$4</f>
        <v>0</v>
      </c>
      <c r="W15" s="13">
        <f>TRANSICAO!$W$15*CUSTOS!$T$4</f>
        <v>0</v>
      </c>
      <c r="X15" s="13">
        <f>TRANSICAO!$X$15*CUSTOS!$T$4</f>
        <v>0</v>
      </c>
      <c r="Y15" s="13">
        <f>TRANSICAO!$Y$15*CUSTOS!$T$4</f>
        <v>0</v>
      </c>
      <c r="Z15" s="13">
        <f>TRANSICAO!$Z$15*CUSTOS!$T$4</f>
        <v>0</v>
      </c>
      <c r="AA15" s="13">
        <f>TRANSICAO!$AA$15*CUSTOS!$T$4</f>
        <v>0</v>
      </c>
      <c r="AB15" s="13">
        <f>TRANSICAO!$AB$15*CUSTOS!$T$4</f>
        <v>0</v>
      </c>
      <c r="AC15" s="13">
        <f>TRANSICAO!$AC$15*CUSTOS!$T$4</f>
        <v>5.4002999999999997</v>
      </c>
      <c r="AD15" s="13">
        <f>TRANSICAO!$AD$15*CUSTOS!$T$4</f>
        <v>0</v>
      </c>
      <c r="AE15" s="13">
        <v>0</v>
      </c>
      <c r="AF15" s="13">
        <v>0</v>
      </c>
      <c r="AG15" s="13"/>
      <c r="AH15" s="13">
        <v>0</v>
      </c>
      <c r="AI15" s="13">
        <v>0</v>
      </c>
      <c r="AJ15" s="13">
        <v>0</v>
      </c>
      <c r="AK15" s="13">
        <f t="shared" si="0"/>
        <v>0</v>
      </c>
      <c r="AL15" s="13"/>
      <c r="AM15" s="13"/>
      <c r="AP15" s="13"/>
    </row>
    <row r="16" spans="1:42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>
        <v>0</v>
      </c>
      <c r="M16" s="13">
        <v>5.4000000000000003E-3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3">
        <f>TRANSICAO!$U$16*CUSTOS!$T$4</f>
        <v>0</v>
      </c>
      <c r="V16" s="13">
        <f>TRANSICAO!$V$16*CUSTOS!$T$4</f>
        <v>0</v>
      </c>
      <c r="W16" s="13">
        <f>TRANSICAO!$W$16*CUSTOS!$T$4</f>
        <v>0</v>
      </c>
      <c r="X16" s="13">
        <f>TRANSICAO!$X$16*CUSTOS!$T$4</f>
        <v>0</v>
      </c>
      <c r="Y16" s="13">
        <f>TRANSICAO!$Y$16*CUSTOS!$T$4</f>
        <v>0</v>
      </c>
      <c r="Z16" s="13">
        <f>TRANSICAO!$Z$16*CUSTOS!$T$4</f>
        <v>0</v>
      </c>
      <c r="AA16" s="13">
        <f>TRANSICAO!$AA$16*CUSTOS!$T$4</f>
        <v>0</v>
      </c>
      <c r="AB16" s="13">
        <f>TRANSICAO!$AB$16*CUSTOS!$T$4</f>
        <v>0</v>
      </c>
      <c r="AC16" s="13">
        <f>TRANSICAO!$AC$16*CUSTOS!$T$4</f>
        <v>24.208400000000001</v>
      </c>
      <c r="AD16" s="13">
        <f>TRANSICAO!$AD$16*CUSTOS!$T$4</f>
        <v>0</v>
      </c>
      <c r="AE16" s="13">
        <v>0</v>
      </c>
      <c r="AF16" s="13">
        <v>0</v>
      </c>
      <c r="AG16" s="13"/>
      <c r="AH16" s="13">
        <v>0</v>
      </c>
      <c r="AI16" s="13">
        <v>0</v>
      </c>
      <c r="AJ16" s="13">
        <v>0</v>
      </c>
      <c r="AK16" s="13">
        <f t="shared" si="0"/>
        <v>0</v>
      </c>
      <c r="AL16" s="13"/>
      <c r="AM16" s="13"/>
      <c r="AP16" s="13"/>
    </row>
    <row r="17" spans="1:42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>
        <f>1</f>
        <v>1</v>
      </c>
      <c r="M1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2.6977429332698808</v>
      </c>
      <c r="N17" s="13">
        <f ca="1">(+M17+O17+R17+U17+V17+W17+X17+Y17+Z17+AA17+AC17+AH17+AI17+AJ17+AK17)*CUSTOS!$M$5</f>
        <v>1.7966006429332699E-11</v>
      </c>
      <c r="O17" s="13">
        <v>1</v>
      </c>
      <c r="P17" s="13">
        <v>1</v>
      </c>
      <c r="Q17" s="13">
        <f>1</f>
        <v>1</v>
      </c>
      <c r="R17" s="13">
        <v>1</v>
      </c>
      <c r="S17" s="13">
        <v>1</v>
      </c>
      <c r="T17" s="13"/>
      <c r="U17" s="13">
        <f>TRANSICAO!$U$17*CUSTOS!$T$3</f>
        <v>0</v>
      </c>
      <c r="V17" s="13">
        <f>TRANSICAO!$V$17*CUSTOS!$T$3</f>
        <v>0</v>
      </c>
      <c r="W17" s="13">
        <f>TRANSICAO!$W$17*CUSTOS!$T$3</f>
        <v>0</v>
      </c>
      <c r="X17" s="13">
        <f>TRANSICAO!$X$17*CUSTOS!$T$3</f>
        <v>0</v>
      </c>
      <c r="Y17" s="13">
        <f>TRANSICAO!$Y$17*CUSTOS!$T$3</f>
        <v>317.01929999999999</v>
      </c>
      <c r="Z17" s="13">
        <f>TRANSICAO!$Z$17*CUSTOS!$T$3</f>
        <v>0</v>
      </c>
      <c r="AA17" s="13">
        <f>TRANSICAO!$AA$17*CUSTOS!$T$3</f>
        <v>0</v>
      </c>
      <c r="AB17" s="13">
        <f>TRANSICAO!$AB$17*CUSTOS!$T$3</f>
        <v>0</v>
      </c>
      <c r="AC17" s="13">
        <f>TRANSICAO!$AC$17*CUSTOS!$T$3</f>
        <v>1444.6854000000001</v>
      </c>
      <c r="AD17" s="13">
        <f>TRANSICAO!$AD$17*CUSTOS!$T$3</f>
        <v>0</v>
      </c>
      <c r="AE17" s="13">
        <v>0</v>
      </c>
      <c r="AF17" s="13">
        <v>0</v>
      </c>
      <c r="AG17" s="13"/>
      <c r="AH17" s="13">
        <v>30.1982</v>
      </c>
      <c r="AI17" s="13">
        <v>0</v>
      </c>
      <c r="AJ17" s="13">
        <f ca="1">$N$64</f>
        <v>0</v>
      </c>
      <c r="AK17" s="13">
        <f t="shared" ca="1" si="0"/>
        <v>0</v>
      </c>
      <c r="AL17" s="13"/>
      <c r="AM17" s="13"/>
      <c r="AP17" s="13">
        <v>1</v>
      </c>
    </row>
    <row r="18" spans="1:42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>
        <f>1</f>
        <v>1</v>
      </c>
      <c r="M1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2.6977429332698808</v>
      </c>
      <c r="N18" s="13">
        <f ca="1">(+M18+O18+R18+U18+V18+W18+X18+Y18+Z18+AA18+AC18+AH18+AI18+AJ18+AK18)*CUSTOS!$M$5</f>
        <v>1.0918891429332699E-11</v>
      </c>
      <c r="O18" s="13">
        <v>1</v>
      </c>
      <c r="P18" s="13">
        <v>1</v>
      </c>
      <c r="Q18" s="13">
        <f>1</f>
        <v>1</v>
      </c>
      <c r="R18" s="13">
        <v>1</v>
      </c>
      <c r="S18" s="13">
        <v>1</v>
      </c>
      <c r="T18" s="13"/>
      <c r="U18" s="13">
        <f>TRANSICAO!$U$18*CUSTOS!$T$3</f>
        <v>0</v>
      </c>
      <c r="V18" s="13">
        <f>TRANSICAO!$V$18*CUSTOS!$T$3</f>
        <v>0</v>
      </c>
      <c r="W18" s="13">
        <f>TRANSICAO!$W$18*CUSTOS!$T$3</f>
        <v>0</v>
      </c>
      <c r="X18" s="13">
        <f>TRANSICAO!$X$18*CUSTOS!$T$3</f>
        <v>0</v>
      </c>
      <c r="Y18" s="13">
        <f>TRANSICAO!$Y$18*CUSTOS!$T$3</f>
        <v>190.18209999999999</v>
      </c>
      <c r="Z18" s="13">
        <f>TRANSICAO!$Z$18*CUSTOS!$T$3</f>
        <v>0</v>
      </c>
      <c r="AA18" s="13">
        <f>TRANSICAO!$AA$18*CUSTOS!$T$3</f>
        <v>0</v>
      </c>
      <c r="AB18" s="13">
        <f>TRANSICAO!$AB$18*CUSTOS!$T$3</f>
        <v>0</v>
      </c>
      <c r="AC18" s="13">
        <f>TRANSICAO!$AC$18*CUSTOS!$T$3</f>
        <v>866.81110000000001</v>
      </c>
      <c r="AD18" s="13">
        <f>TRANSICAO!$AD$18*CUSTOS!$T$3</f>
        <v>0</v>
      </c>
      <c r="AE18" s="13">
        <v>0</v>
      </c>
      <c r="AF18" s="13">
        <v>0</v>
      </c>
      <c r="AG18" s="13"/>
      <c r="AH18" s="13">
        <v>30.1982</v>
      </c>
      <c r="AI18" s="13">
        <v>0</v>
      </c>
      <c r="AJ18" s="13">
        <f ca="1">$N$64</f>
        <v>0</v>
      </c>
      <c r="AK18" s="13">
        <f t="shared" ca="1" si="0"/>
        <v>0</v>
      </c>
      <c r="AL18" s="13"/>
      <c r="AM18" s="13"/>
      <c r="AP18" s="13">
        <v>1</v>
      </c>
    </row>
    <row r="19" spans="1:42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>
        <f>1</f>
        <v>1</v>
      </c>
      <c r="M1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2.6977429332698808</v>
      </c>
      <c r="N19" s="13">
        <f ca="1">(+M19+O19+R19+U19+V19+W19+X19+Y19+Z19+AA19+AC19+AH19+AI19+AJ19+AK19)*CUSTOS!$M$5</f>
        <v>3.8722684293326981E-12</v>
      </c>
      <c r="O19" s="13">
        <v>1</v>
      </c>
      <c r="P19" s="13">
        <v>1</v>
      </c>
      <c r="Q19" s="13">
        <f>1</f>
        <v>1</v>
      </c>
      <c r="R19" s="13">
        <v>1</v>
      </c>
      <c r="S19" s="13">
        <v>1</v>
      </c>
      <c r="T19" s="13"/>
      <c r="U19" s="13">
        <f>TRANSICAO!$U$19*CUSTOS!$T$3</f>
        <v>0</v>
      </c>
      <c r="V19" s="13">
        <f>TRANSICAO!$V$19*CUSTOS!$T$3</f>
        <v>0</v>
      </c>
      <c r="W19" s="13">
        <f>TRANSICAO!$W$19*CUSTOS!$T$3</f>
        <v>0</v>
      </c>
      <c r="X19" s="13">
        <f>TRANSICAO!$X$19*CUSTOS!$T$3</f>
        <v>0</v>
      </c>
      <c r="Y19" s="13">
        <f>TRANSICAO!$Y$19*CUSTOS!$T$3</f>
        <v>63.393999999999998</v>
      </c>
      <c r="Z19" s="13">
        <f>TRANSICAO!$Z$19*CUSTOS!$T$3</f>
        <v>0</v>
      </c>
      <c r="AA19" s="13">
        <f>TRANSICAO!$AA$19*CUSTOS!$T$3</f>
        <v>0</v>
      </c>
      <c r="AB19" s="13">
        <f>TRANSICAO!$AB$19*CUSTOS!$T$3</f>
        <v>0</v>
      </c>
      <c r="AC19" s="13">
        <f>TRANSICAO!$AC$19*CUSTOS!$T$3</f>
        <v>288.93689999999998</v>
      </c>
      <c r="AD19" s="13">
        <f>TRANSICAO!$AD$19*CUSTOS!$T$3</f>
        <v>0</v>
      </c>
      <c r="AE19" s="13">
        <v>0</v>
      </c>
      <c r="AF19" s="13">
        <v>0</v>
      </c>
      <c r="AG19" s="13"/>
      <c r="AH19" s="13">
        <v>30.1982</v>
      </c>
      <c r="AI19" s="13">
        <v>0</v>
      </c>
      <c r="AJ19" s="13">
        <f ca="1">$N$64</f>
        <v>0</v>
      </c>
      <c r="AK19" s="13">
        <f t="shared" ca="1" si="0"/>
        <v>0</v>
      </c>
      <c r="AL19" s="13"/>
      <c r="AM19" s="13"/>
      <c r="AP19" s="13">
        <v>1</v>
      </c>
    </row>
    <row r="20" spans="1:42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>
        <f>1</f>
        <v>1</v>
      </c>
      <c r="M2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2.6977429332698808</v>
      </c>
      <c r="N20" s="13">
        <f ca="1">(+M20+O20+R20+U20+V20+W20+X20+Y20+Z20+AA20+AC20+AH20+AI20+AJ20+AK20)*CUSTOS!$M$5</f>
        <v>6.4240574293326995E-12</v>
      </c>
      <c r="O20" s="13">
        <v>1</v>
      </c>
      <c r="P20" s="13">
        <v>1</v>
      </c>
      <c r="Q20" s="13">
        <f>1</f>
        <v>1</v>
      </c>
      <c r="R20" s="13">
        <v>1</v>
      </c>
      <c r="S20" s="13">
        <v>1</v>
      </c>
      <c r="T20" s="13"/>
      <c r="U20" s="13">
        <f>TRANSICAO!$U$20*CUSTOS!$T$3</f>
        <v>0</v>
      </c>
      <c r="V20" s="13">
        <f>TRANSICAO!$V$20*CUSTOS!$T$3</f>
        <v>0</v>
      </c>
      <c r="W20" s="13">
        <f>TRANSICAO!$W$20*CUSTOS!$T$3</f>
        <v>0</v>
      </c>
      <c r="X20" s="13">
        <f>TRANSICAO!$X$20*CUSTOS!$T$3</f>
        <v>0</v>
      </c>
      <c r="Y20" s="13">
        <f>TRANSICAO!$Y$20*CUSTOS!$T$3</f>
        <v>109.3425</v>
      </c>
      <c r="Z20" s="13">
        <f>TRANSICAO!$Z$20*CUSTOS!$T$3</f>
        <v>0</v>
      </c>
      <c r="AA20" s="13">
        <f>TRANSICAO!$AA$20*CUSTOS!$T$3</f>
        <v>0</v>
      </c>
      <c r="AB20" s="13">
        <f>TRANSICAO!$AB$20*CUSTOS!$T$3</f>
        <v>0</v>
      </c>
      <c r="AC20" s="13">
        <f>TRANSICAO!$AC$20*CUSTOS!$T$3</f>
        <v>498.16730000000001</v>
      </c>
      <c r="AD20" s="13">
        <f>TRANSICAO!$AD$20*CUSTOS!$T$3</f>
        <v>0</v>
      </c>
      <c r="AE20" s="13">
        <v>0</v>
      </c>
      <c r="AF20" s="13">
        <v>0</v>
      </c>
      <c r="AG20" s="13"/>
      <c r="AH20" s="13">
        <v>30.1982</v>
      </c>
      <c r="AI20" s="13">
        <v>0</v>
      </c>
      <c r="AJ20" s="13">
        <f ca="1">$N$64</f>
        <v>0</v>
      </c>
      <c r="AK20" s="13">
        <f t="shared" ca="1" si="0"/>
        <v>0</v>
      </c>
      <c r="AL20" s="13"/>
      <c r="AM20" s="13"/>
      <c r="AP20" s="13">
        <v>1</v>
      </c>
    </row>
    <row r="21" spans="1:42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>
        <v>0</v>
      </c>
      <c r="M2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2.6977429332698808</v>
      </c>
      <c r="N21" s="13">
        <f ca="1">(+M21+O21+R21+U21+V21+W21+X21+Y21+Z21+AA21+AC21+AH21+AI21+AJ21+AK21)*CUSTOS!$M$5</f>
        <v>6.4140574293326993E-12</v>
      </c>
      <c r="O21" s="13">
        <f>1 - CUSTOS!$M$24</f>
        <v>1</v>
      </c>
      <c r="P21" s="13">
        <v>0</v>
      </c>
      <c r="Q21" s="13">
        <v>0</v>
      </c>
      <c r="R21" s="13">
        <v>0</v>
      </c>
      <c r="S21" s="13">
        <f>1 - CUSTOS!$M$24</f>
        <v>1</v>
      </c>
      <c r="T21" s="13"/>
      <c r="U21" s="13">
        <f>TRANSICAO!$U$21*CUSTOS!$T$3</f>
        <v>0</v>
      </c>
      <c r="V21" s="13">
        <f>TRANSICAO!$V$21*CUSTOS!$T$3</f>
        <v>0</v>
      </c>
      <c r="W21" s="13">
        <f>TRANSICAO!$W$21*CUSTOS!$T$3</f>
        <v>0</v>
      </c>
      <c r="X21" s="13">
        <f>TRANSICAO!$X$21*CUSTOS!$T$3</f>
        <v>0</v>
      </c>
      <c r="Y21" s="13">
        <f>TRANSICAO!$Y$21*CUSTOS!$T$3</f>
        <v>109.3425</v>
      </c>
      <c r="Z21" s="13">
        <f>TRANSICAO!$Z$21*CUSTOS!$T$3</f>
        <v>0</v>
      </c>
      <c r="AA21" s="13">
        <f>TRANSICAO!$AA$21*CUSTOS!$T$3</f>
        <v>0</v>
      </c>
      <c r="AB21" s="13">
        <f>TRANSICAO!$AB$21*CUSTOS!$T$3</f>
        <v>0</v>
      </c>
      <c r="AC21" s="13">
        <f>TRANSICAO!$AC$21*CUSTOS!$T$3</f>
        <v>498.16730000000001</v>
      </c>
      <c r="AD21" s="13">
        <f>TRANSICAO!$AD$21*CUSTOS!$T$3</f>
        <v>0</v>
      </c>
      <c r="AE21" s="13">
        <v>0</v>
      </c>
      <c r="AF21" s="13">
        <v>0</v>
      </c>
      <c r="AG21" s="13"/>
      <c r="AH21" s="13">
        <f>(1 - CUSTOS!$M$24)*30.1982</f>
        <v>30.1982</v>
      </c>
      <c r="AI21" s="13">
        <v>0</v>
      </c>
      <c r="AJ21" s="13">
        <f ca="1">$N$64*(1-CUSTOS!$M$24)</f>
        <v>0</v>
      </c>
      <c r="AK21" s="13">
        <f t="shared" ca="1" si="0"/>
        <v>0</v>
      </c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>
        <v>0</v>
      </c>
      <c r="M2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2.6977429332698808</v>
      </c>
      <c r="N22" s="13">
        <f ca="1">(+M22+O22+R22+U22+V22+W22+X22+Y22+Z22+AA22+AC22+AH22+AI22+AJ22+AK22)*CUSTOS!$M$5</f>
        <v>6.4140574293326993E-12</v>
      </c>
      <c r="O22" s="13">
        <f>1 - CUSTOS!$M$25</f>
        <v>1</v>
      </c>
      <c r="P22" s="13">
        <v>0</v>
      </c>
      <c r="Q22" s="13">
        <v>0</v>
      </c>
      <c r="R22" s="13">
        <v>0</v>
      </c>
      <c r="S22" s="13">
        <f>1 - CUSTOS!$M$25</f>
        <v>1</v>
      </c>
      <c r="T22" s="13"/>
      <c r="U22" s="13">
        <f>TRANSICAO!$U$22*CUSTOS!$T$3</f>
        <v>0</v>
      </c>
      <c r="V22" s="13">
        <f>TRANSICAO!$V$22*CUSTOS!$T$3</f>
        <v>0</v>
      </c>
      <c r="W22" s="13">
        <f>TRANSICAO!$W$22*CUSTOS!$T$3</f>
        <v>0</v>
      </c>
      <c r="X22" s="13">
        <f>TRANSICAO!$X$22*CUSTOS!$T$3</f>
        <v>0</v>
      </c>
      <c r="Y22" s="13">
        <f>TRANSICAO!$Y$22*CUSTOS!$T$3</f>
        <v>109.3425</v>
      </c>
      <c r="Z22" s="13">
        <f>TRANSICAO!$Z$22*CUSTOS!$T$3</f>
        <v>0</v>
      </c>
      <c r="AA22" s="13">
        <f>TRANSICAO!$AA$22*CUSTOS!$T$3</f>
        <v>0</v>
      </c>
      <c r="AB22" s="13">
        <f>TRANSICAO!$AB$22*CUSTOS!$T$3</f>
        <v>0</v>
      </c>
      <c r="AC22" s="13">
        <f>TRANSICAO!$AC$22*CUSTOS!$T$3</f>
        <v>498.16730000000001</v>
      </c>
      <c r="AD22" s="13">
        <f>TRANSICAO!$AD$22*CUSTOS!$T$3</f>
        <v>0</v>
      </c>
      <c r="AE22" s="13">
        <v>0</v>
      </c>
      <c r="AF22" s="13">
        <v>0</v>
      </c>
      <c r="AG22" s="13"/>
      <c r="AH22" s="13">
        <f>(1 - CUSTOS!$M$25)*30.1982</f>
        <v>30.1982</v>
      </c>
      <c r="AI22" s="13">
        <v>0</v>
      </c>
      <c r="AJ22" s="13">
        <f ca="1">$N$64*(1-CUSTOS!$M$25)</f>
        <v>0</v>
      </c>
      <c r="AK22" s="13">
        <f t="shared" ca="1" si="0"/>
        <v>0</v>
      </c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>
        <v>0</v>
      </c>
      <c r="M2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2.6977429332698808</v>
      </c>
      <c r="N23" s="13">
        <f ca="1">(+M23+O23+R23+U23+V23+W23+X23+Y23+Z23+AA23+AC23+AH23+AI23+AJ23+AK23)*CUSTOS!$M$5</f>
        <v>6.4140574293326993E-12</v>
      </c>
      <c r="O23" s="13">
        <f>1 - CUSTOS!$M$26</f>
        <v>1</v>
      </c>
      <c r="P23" s="13">
        <v>0</v>
      </c>
      <c r="Q23" s="13">
        <v>0</v>
      </c>
      <c r="R23" s="13">
        <v>0</v>
      </c>
      <c r="S23" s="13">
        <f>1 - CUSTOS!$M$26</f>
        <v>1</v>
      </c>
      <c r="T23" s="13"/>
      <c r="U23" s="13">
        <f>TRANSICAO!$U$23*CUSTOS!$T$3</f>
        <v>0</v>
      </c>
      <c r="V23" s="13">
        <f>TRANSICAO!$V$23*CUSTOS!$T$3</f>
        <v>0</v>
      </c>
      <c r="W23" s="13">
        <f>TRANSICAO!$W$23*CUSTOS!$T$3</f>
        <v>0</v>
      </c>
      <c r="X23" s="13">
        <f>TRANSICAO!$X$23*CUSTOS!$T$3</f>
        <v>0</v>
      </c>
      <c r="Y23" s="13">
        <f>TRANSICAO!$Y$23*CUSTOS!$T$3</f>
        <v>109.3425</v>
      </c>
      <c r="Z23" s="13">
        <f>TRANSICAO!$Z$23*CUSTOS!$T$3</f>
        <v>0</v>
      </c>
      <c r="AA23" s="13">
        <f>TRANSICAO!$AA$23*CUSTOS!$T$3</f>
        <v>0</v>
      </c>
      <c r="AB23" s="13">
        <f>TRANSICAO!$AB$23*CUSTOS!$T$3</f>
        <v>0</v>
      </c>
      <c r="AC23" s="13">
        <f>TRANSICAO!$AC$23*CUSTOS!$T$3</f>
        <v>498.16730000000001</v>
      </c>
      <c r="AD23" s="13">
        <f>TRANSICAO!$AD$23*CUSTOS!$T$3</f>
        <v>0</v>
      </c>
      <c r="AE23" s="13">
        <v>0</v>
      </c>
      <c r="AF23" s="13">
        <v>0</v>
      </c>
      <c r="AG23" s="13"/>
      <c r="AH23" s="13">
        <f>(1 - CUSTOS!$M$26)*30.1982</f>
        <v>30.1982</v>
      </c>
      <c r="AI23" s="13">
        <v>0</v>
      </c>
      <c r="AJ23" s="13">
        <f ca="1">$N$64*(1-CUSTOS!$M$26)</f>
        <v>0</v>
      </c>
      <c r="AK23" s="13">
        <f t="shared" ca="1" si="0"/>
        <v>0</v>
      </c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>
        <v>0</v>
      </c>
      <c r="M2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2.6977429332698808</v>
      </c>
      <c r="N24" s="13">
        <f ca="1">(+M24+O24+R24+U24+V24+W24+X24+Y24+Z24+AA24+AC24+AH24+AI24+AJ24+AK24)*CUSTOS!$M$5</f>
        <v>6.4140574293326993E-12</v>
      </c>
      <c r="O24" s="13">
        <f>1 - CUSTOS!$M$27</f>
        <v>1</v>
      </c>
      <c r="P24" s="13">
        <v>0</v>
      </c>
      <c r="Q24" s="13">
        <v>0</v>
      </c>
      <c r="R24" s="13">
        <v>0</v>
      </c>
      <c r="S24" s="13">
        <f>1 - CUSTOS!$M$27</f>
        <v>1</v>
      </c>
      <c r="T24" s="13"/>
      <c r="U24" s="13">
        <f>TRANSICAO!$U$24*CUSTOS!$T$3</f>
        <v>0</v>
      </c>
      <c r="V24" s="13">
        <f>TRANSICAO!$V$24*CUSTOS!$T$3</f>
        <v>0</v>
      </c>
      <c r="W24" s="13">
        <f>TRANSICAO!$W$24*CUSTOS!$T$3</f>
        <v>0</v>
      </c>
      <c r="X24" s="13">
        <f>TRANSICAO!$X$24*CUSTOS!$T$3</f>
        <v>0</v>
      </c>
      <c r="Y24" s="13">
        <f>TRANSICAO!$Y$24*CUSTOS!$T$3</f>
        <v>109.3425</v>
      </c>
      <c r="Z24" s="13">
        <f>TRANSICAO!$Z$24*CUSTOS!$T$3</f>
        <v>0</v>
      </c>
      <c r="AA24" s="13">
        <f>TRANSICAO!$AA$24*CUSTOS!$T$3</f>
        <v>0</v>
      </c>
      <c r="AB24" s="13">
        <f>TRANSICAO!$AB$24*CUSTOS!$T$3</f>
        <v>0</v>
      </c>
      <c r="AC24" s="13">
        <f>TRANSICAO!$AC$24*CUSTOS!$T$3</f>
        <v>498.16730000000001</v>
      </c>
      <c r="AD24" s="13">
        <f>TRANSICAO!$AD$24*CUSTOS!$T$3</f>
        <v>0</v>
      </c>
      <c r="AE24" s="13">
        <v>0</v>
      </c>
      <c r="AF24" s="13">
        <v>0</v>
      </c>
      <c r="AG24" s="13"/>
      <c r="AH24" s="13">
        <f>(1 - CUSTOS!$M$27)*30.1982</f>
        <v>30.1982</v>
      </c>
      <c r="AI24" s="13">
        <v>0</v>
      </c>
      <c r="AJ24" s="13">
        <f ca="1">$N$64*(1-CUSTOS!$M$27)</f>
        <v>0</v>
      </c>
      <c r="AK24" s="13">
        <f t="shared" ca="1" si="0"/>
        <v>0</v>
      </c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>
        <f>1</f>
        <v>1</v>
      </c>
      <c r="M2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2.6977429332698808</v>
      </c>
      <c r="N25" s="13">
        <f ca="1">(+M25+O25+R25+U25+V25+W25+X25+Y25+Z25+AA25+AC25+AH25+AI25+AJ25+AK25)*CUSTOS!$M$5</f>
        <v>6.4240574293326995E-12</v>
      </c>
      <c r="O25" s="13">
        <v>1</v>
      </c>
      <c r="P25" s="13">
        <v>1</v>
      </c>
      <c r="Q25" s="13">
        <f>1</f>
        <v>1</v>
      </c>
      <c r="R25" s="13">
        <v>1</v>
      </c>
      <c r="S25" s="13">
        <v>1</v>
      </c>
      <c r="T25" s="13"/>
      <c r="U25" s="13">
        <f>TRANSICAO!$U$25*CUSTOS!$T$3</f>
        <v>0</v>
      </c>
      <c r="V25" s="13">
        <f>TRANSICAO!$V$25*CUSTOS!$T$3</f>
        <v>0</v>
      </c>
      <c r="W25" s="13">
        <f>TRANSICAO!$W$25*CUSTOS!$T$3</f>
        <v>0</v>
      </c>
      <c r="X25" s="13">
        <f>TRANSICAO!$X$25*CUSTOS!$T$3</f>
        <v>0</v>
      </c>
      <c r="Y25" s="13">
        <f>TRANSICAO!$Y$25*CUSTOS!$T$3</f>
        <v>109.3425</v>
      </c>
      <c r="Z25" s="13">
        <f>TRANSICAO!$Z$25*CUSTOS!$T$3</f>
        <v>0</v>
      </c>
      <c r="AA25" s="13">
        <f>TRANSICAO!$AA$25*CUSTOS!$T$3</f>
        <v>0</v>
      </c>
      <c r="AB25" s="13">
        <f>TRANSICAO!$AB$25*CUSTOS!$T$3</f>
        <v>0</v>
      </c>
      <c r="AC25" s="13">
        <f>TRANSICAO!$AC$25*CUSTOS!$T$3</f>
        <v>498.16730000000001</v>
      </c>
      <c r="AD25" s="13">
        <f>TRANSICAO!$AD$25*CUSTOS!$T$3</f>
        <v>0</v>
      </c>
      <c r="AE25" s="13">
        <v>0</v>
      </c>
      <c r="AF25" s="13">
        <v>0</v>
      </c>
      <c r="AG25" s="13"/>
      <c r="AH25" s="13">
        <v>30.1982</v>
      </c>
      <c r="AI25" s="13">
        <v>0</v>
      </c>
      <c r="AJ25" s="13">
        <f ca="1">$N$64</f>
        <v>0</v>
      </c>
      <c r="AK25" s="13">
        <f t="shared" ca="1" si="0"/>
        <v>0</v>
      </c>
      <c r="AL25" s="13"/>
      <c r="AM25" s="13"/>
      <c r="AP25" s="13">
        <v>1</v>
      </c>
    </row>
    <row r="26" spans="1:42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>
        <v>0</v>
      </c>
      <c r="M2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2.6977429332698808</v>
      </c>
      <c r="N26" s="13">
        <f ca="1">(+M26+O26+R26+U26+V26+W26+X26+Y26+Z26+AA26+AC26+AH26+AI26+AJ26+AK26)*CUSTOS!$M$5</f>
        <v>6.4140574293326993E-12</v>
      </c>
      <c r="O26" s="13">
        <f>1 - CUSTOS!$M$24</f>
        <v>1</v>
      </c>
      <c r="P26" s="13">
        <v>0</v>
      </c>
      <c r="Q26" s="13">
        <v>0</v>
      </c>
      <c r="R26" s="13">
        <v>0</v>
      </c>
      <c r="S26" s="13">
        <f>1 - CUSTOS!$M$24</f>
        <v>1</v>
      </c>
      <c r="T26" s="13"/>
      <c r="U26" s="13">
        <f>TRANSICAO!$U$26*CUSTOS!$T$3</f>
        <v>0</v>
      </c>
      <c r="V26" s="13">
        <f>TRANSICAO!$V$26*CUSTOS!$T$3</f>
        <v>0</v>
      </c>
      <c r="W26" s="13">
        <f>TRANSICAO!$W$26*CUSTOS!$T$3</f>
        <v>0</v>
      </c>
      <c r="X26" s="13">
        <f>TRANSICAO!$X$26*CUSTOS!$T$3</f>
        <v>0</v>
      </c>
      <c r="Y26" s="13">
        <f>TRANSICAO!$Y$26*CUSTOS!$T$3</f>
        <v>109.3425</v>
      </c>
      <c r="Z26" s="13">
        <f>TRANSICAO!$Z$26*CUSTOS!$T$3</f>
        <v>0</v>
      </c>
      <c r="AA26" s="13">
        <f>TRANSICAO!$AA$26*CUSTOS!$T$3</f>
        <v>0</v>
      </c>
      <c r="AB26" s="13">
        <f>TRANSICAO!$AB$26*CUSTOS!$T$3</f>
        <v>0</v>
      </c>
      <c r="AC26" s="13">
        <f>TRANSICAO!$AC$26*CUSTOS!$T$3</f>
        <v>498.16730000000001</v>
      </c>
      <c r="AD26" s="13">
        <f>TRANSICAO!$AD$26*CUSTOS!$T$3</f>
        <v>0</v>
      </c>
      <c r="AE26" s="13">
        <v>0</v>
      </c>
      <c r="AF26" s="13">
        <v>0</v>
      </c>
      <c r="AG26" s="13"/>
      <c r="AH26" s="13">
        <f>(1 - CUSTOS!$M$24)*30.1982</f>
        <v>30.1982</v>
      </c>
      <c r="AI26" s="13">
        <v>0</v>
      </c>
      <c r="AJ26" s="13">
        <f ca="1">$N$64*(1-CUSTOS!$M$24)</f>
        <v>0</v>
      </c>
      <c r="AK26" s="13">
        <f t="shared" ca="1" si="0"/>
        <v>0</v>
      </c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>
        <v>0</v>
      </c>
      <c r="M2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2.6977429332698808</v>
      </c>
      <c r="N27" s="13">
        <f ca="1">(+M27+O27+R27+U27+V27+W27+X27+Y27+Z27+AA27+AC27+AH27+AI27+AJ27+AK27)*CUSTOS!$M$5</f>
        <v>6.4140574293326993E-12</v>
      </c>
      <c r="O27" s="13">
        <f>1 - CUSTOS!$M$25</f>
        <v>1</v>
      </c>
      <c r="P27" s="13">
        <v>0</v>
      </c>
      <c r="Q27" s="13">
        <v>0</v>
      </c>
      <c r="R27" s="13">
        <v>0</v>
      </c>
      <c r="S27" s="13">
        <f>1 - CUSTOS!$M$25</f>
        <v>1</v>
      </c>
      <c r="T27" s="13"/>
      <c r="U27" s="13">
        <f>TRANSICAO!$U$27*CUSTOS!$T$3</f>
        <v>0</v>
      </c>
      <c r="V27" s="13">
        <f>TRANSICAO!$V$27*CUSTOS!$T$3</f>
        <v>0</v>
      </c>
      <c r="W27" s="13">
        <f>TRANSICAO!$W$27*CUSTOS!$T$3</f>
        <v>0</v>
      </c>
      <c r="X27" s="13">
        <f>TRANSICAO!$X$27*CUSTOS!$T$3</f>
        <v>0</v>
      </c>
      <c r="Y27" s="13">
        <f>TRANSICAO!$Y$27*CUSTOS!$T$3</f>
        <v>109.3425</v>
      </c>
      <c r="Z27" s="13">
        <f>TRANSICAO!$Z$27*CUSTOS!$T$3</f>
        <v>0</v>
      </c>
      <c r="AA27" s="13">
        <f>TRANSICAO!$AA$27*CUSTOS!$T$3</f>
        <v>0</v>
      </c>
      <c r="AB27" s="13">
        <f>TRANSICAO!$AB$27*CUSTOS!$T$3</f>
        <v>0</v>
      </c>
      <c r="AC27" s="13">
        <f>TRANSICAO!$AC$27*CUSTOS!$T$3</f>
        <v>498.16730000000001</v>
      </c>
      <c r="AD27" s="13">
        <f>TRANSICAO!$AD$27*CUSTOS!$T$3</f>
        <v>0</v>
      </c>
      <c r="AE27" s="13">
        <v>0</v>
      </c>
      <c r="AF27" s="13">
        <v>0</v>
      </c>
      <c r="AG27" s="13"/>
      <c r="AH27" s="13">
        <f>(1 - CUSTOS!$M$25)*30.1982</f>
        <v>30.1982</v>
      </c>
      <c r="AI27" s="13">
        <v>0</v>
      </c>
      <c r="AJ27" s="13">
        <f ca="1">$N$64*(1-CUSTOS!$M$25)</f>
        <v>0</v>
      </c>
      <c r="AK27" s="13">
        <f t="shared" ca="1" si="0"/>
        <v>0</v>
      </c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>
        <v>0</v>
      </c>
      <c r="M2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2.6977429332698808</v>
      </c>
      <c r="N28" s="13">
        <f ca="1">(+M28+O28+R28+U28+V28+W28+X28+Y28+Z28+AA28+AC28+AH28+AI28+AJ28+AK28)*CUSTOS!$M$5</f>
        <v>6.4140574293326993E-12</v>
      </c>
      <c r="O28" s="13">
        <f>1 - CUSTOS!$M$26</f>
        <v>1</v>
      </c>
      <c r="P28" s="13">
        <v>0</v>
      </c>
      <c r="Q28" s="13">
        <v>0</v>
      </c>
      <c r="R28" s="13">
        <v>0</v>
      </c>
      <c r="S28" s="13">
        <f>1 - CUSTOS!$M$26</f>
        <v>1</v>
      </c>
      <c r="T28" s="13"/>
      <c r="U28" s="13">
        <f>TRANSICAO!$U$28*CUSTOS!$T$3</f>
        <v>0</v>
      </c>
      <c r="V28" s="13">
        <f>TRANSICAO!$V$28*CUSTOS!$T$3</f>
        <v>0</v>
      </c>
      <c r="W28" s="13">
        <f>TRANSICAO!$W$28*CUSTOS!$T$3</f>
        <v>0</v>
      </c>
      <c r="X28" s="13">
        <f>TRANSICAO!$X$28*CUSTOS!$T$3</f>
        <v>0</v>
      </c>
      <c r="Y28" s="13">
        <f>TRANSICAO!$Y$28*CUSTOS!$T$3</f>
        <v>109.3425</v>
      </c>
      <c r="Z28" s="13">
        <f>TRANSICAO!$Z$28*CUSTOS!$T$3</f>
        <v>0</v>
      </c>
      <c r="AA28" s="13">
        <f>TRANSICAO!$AA$28*CUSTOS!$T$3</f>
        <v>0</v>
      </c>
      <c r="AB28" s="13">
        <f>TRANSICAO!$AB$28*CUSTOS!$T$3</f>
        <v>0</v>
      </c>
      <c r="AC28" s="13">
        <f>TRANSICAO!$AC$28*CUSTOS!$T$3</f>
        <v>498.16730000000001</v>
      </c>
      <c r="AD28" s="13">
        <f>TRANSICAO!$AD$28*CUSTOS!$T$3</f>
        <v>0</v>
      </c>
      <c r="AE28" s="13">
        <v>0</v>
      </c>
      <c r="AF28" s="13">
        <v>0</v>
      </c>
      <c r="AG28" s="13"/>
      <c r="AH28" s="13">
        <f>(1 - CUSTOS!$M$26)*30.1982</f>
        <v>30.1982</v>
      </c>
      <c r="AI28" s="13">
        <v>0</v>
      </c>
      <c r="AJ28" s="13">
        <f ca="1">$N$64*(1-CUSTOS!$M$26)</f>
        <v>0</v>
      </c>
      <c r="AK28" s="13">
        <f t="shared" ca="1" si="0"/>
        <v>0</v>
      </c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>
        <v>0</v>
      </c>
      <c r="M2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2.6977429332698808</v>
      </c>
      <c r="N29" s="13">
        <f ca="1">(+M29+O29+R29+U29+V29+W29+X29+Y29+Z29+AA29+AC29+AH29+AI29+AJ29+AK29)*CUSTOS!$M$5</f>
        <v>6.4140574293326993E-12</v>
      </c>
      <c r="O29" s="13">
        <f>1 - CUSTOS!$M$27</f>
        <v>1</v>
      </c>
      <c r="P29" s="13">
        <v>0</v>
      </c>
      <c r="Q29" s="13">
        <v>0</v>
      </c>
      <c r="R29" s="13">
        <v>0</v>
      </c>
      <c r="S29" s="13">
        <f>1 - CUSTOS!$M$27</f>
        <v>1</v>
      </c>
      <c r="T29" s="13"/>
      <c r="U29" s="13">
        <f>TRANSICAO!$U$29*CUSTOS!$T$3</f>
        <v>0</v>
      </c>
      <c r="V29" s="13">
        <f>TRANSICAO!$V$29*CUSTOS!$T$3</f>
        <v>0</v>
      </c>
      <c r="W29" s="13">
        <f>TRANSICAO!$W$29*CUSTOS!$T$3</f>
        <v>0</v>
      </c>
      <c r="X29" s="13">
        <f>TRANSICAO!$X$29*CUSTOS!$T$3</f>
        <v>0</v>
      </c>
      <c r="Y29" s="13">
        <f>TRANSICAO!$Y$29*CUSTOS!$T$3</f>
        <v>109.3425</v>
      </c>
      <c r="Z29" s="13">
        <f>TRANSICAO!$Z$29*CUSTOS!$T$3</f>
        <v>0</v>
      </c>
      <c r="AA29" s="13">
        <f>TRANSICAO!$AA$29*CUSTOS!$T$3</f>
        <v>0</v>
      </c>
      <c r="AB29" s="13">
        <f>TRANSICAO!$AB$29*CUSTOS!$T$3</f>
        <v>0</v>
      </c>
      <c r="AC29" s="13">
        <f>TRANSICAO!$AC$29*CUSTOS!$T$3</f>
        <v>498.16730000000001</v>
      </c>
      <c r="AD29" s="13">
        <f>TRANSICAO!$AD$29*CUSTOS!$T$3</f>
        <v>0</v>
      </c>
      <c r="AE29" s="13">
        <v>0</v>
      </c>
      <c r="AF29" s="13">
        <v>0</v>
      </c>
      <c r="AG29" s="13"/>
      <c r="AH29" s="13">
        <f>(1 - CUSTOS!$M$27)*30.1982</f>
        <v>30.1982</v>
      </c>
      <c r="AI29" s="13">
        <v>0</v>
      </c>
      <c r="AJ29" s="13">
        <f ca="1">$N$64*(1-CUSTOS!$M$27)</f>
        <v>0</v>
      </c>
      <c r="AK29" s="13">
        <f t="shared" ca="1" si="0"/>
        <v>0</v>
      </c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>
        <f>1*(1 - CUSTOS!$M$28)</f>
        <v>1</v>
      </c>
      <c r="M3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2.6977429332698808</v>
      </c>
      <c r="N30" s="13">
        <f ca="1">(+M30+O30+R30+U30+V30+W30+X30+Y30+Z30+AA30+AC30+AH30+AI30+AJ30+AK30)*CUSTOS!$M$5</f>
        <v>2.1003310429332697E-11</v>
      </c>
      <c r="O30" s="13">
        <f>1 - CUSTOS!$M$28</f>
        <v>1</v>
      </c>
      <c r="P30" s="13">
        <f>1 - CUSTOS!$M$28</f>
        <v>1</v>
      </c>
      <c r="Q30" s="13">
        <f>1*(1 - CUSTOS!$M$28)</f>
        <v>1</v>
      </c>
      <c r="R30" s="13">
        <f>1 - CUSTOS!$M$28</f>
        <v>1</v>
      </c>
      <c r="S30" s="13">
        <f>1 - CUSTOS!$M$28</f>
        <v>1</v>
      </c>
      <c r="T30" s="13"/>
      <c r="U30" s="13">
        <f>TRANSICAO!$U$30*CUSTOS!$T$3</f>
        <v>0</v>
      </c>
      <c r="V30" s="13">
        <f>TRANSICAO!$V$30*CUSTOS!$T$3</f>
        <v>0</v>
      </c>
      <c r="W30" s="13">
        <f>TRANSICAO!$W$30*CUSTOS!$T$3</f>
        <v>0</v>
      </c>
      <c r="X30" s="13">
        <f>TRANSICAO!$X$30*CUSTOS!$T$3</f>
        <v>0</v>
      </c>
      <c r="Y30" s="13">
        <f>TRANSICAO!$Y$30*CUSTOS!$T$3</f>
        <v>371.666</v>
      </c>
      <c r="Z30" s="13">
        <f>TRANSICAO!$Z$30*CUSTOS!$T$3</f>
        <v>0</v>
      </c>
      <c r="AA30" s="13">
        <f>TRANSICAO!$AA$30*CUSTOS!$T$3</f>
        <v>0</v>
      </c>
      <c r="AB30" s="13">
        <f>TRANSICAO!$AB$30*CUSTOS!$T$3</f>
        <v>0</v>
      </c>
      <c r="AC30" s="13">
        <f>TRANSICAO!$AC$30*CUSTOS!$T$3</f>
        <v>1693.7691</v>
      </c>
      <c r="AD30" s="13">
        <f>TRANSICAO!$AD$30*CUSTOS!$T$3</f>
        <v>0</v>
      </c>
      <c r="AE30" s="13">
        <v>0</v>
      </c>
      <c r="AF30" s="13">
        <v>0</v>
      </c>
      <c r="AG30" s="13"/>
      <c r="AH30" s="13">
        <f>(1 - CUSTOS!$M$28)*30.1982</f>
        <v>30.1982</v>
      </c>
      <c r="AI30" s="13">
        <v>0</v>
      </c>
      <c r="AJ30" s="13">
        <f ca="1">$N$64*(1-CUSTOS!$M$28)</f>
        <v>0</v>
      </c>
      <c r="AK30" s="13">
        <f t="shared" ca="1" si="0"/>
        <v>0</v>
      </c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>
        <f>1*(1 - CUSTOS!$M$28)</f>
        <v>1</v>
      </c>
      <c r="M3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2.6977429332698808</v>
      </c>
      <c r="N31" s="13">
        <f ca="1">(+M31+O31+R31+U31+V31+W31+X31+Y31+Z31+AA31+AC31+AH31+AI31+AJ31+AK31)*CUSTOS!$M$5</f>
        <v>1.27416654293327E-11</v>
      </c>
      <c r="O31" s="13">
        <f>1 - CUSTOS!$M$28</f>
        <v>1</v>
      </c>
      <c r="P31" s="13">
        <f>1 - CUSTOS!$M$28</f>
        <v>1</v>
      </c>
      <c r="Q31" s="13">
        <f>1*(1 - CUSTOS!$M$28)</f>
        <v>1</v>
      </c>
      <c r="R31" s="13">
        <f>1 - CUSTOS!$M$28</f>
        <v>1</v>
      </c>
      <c r="S31" s="13">
        <f>1 - CUSTOS!$M$28</f>
        <v>1</v>
      </c>
      <c r="T31" s="13"/>
      <c r="U31" s="13">
        <f>TRANSICAO!$U$31*CUSTOS!$T$3</f>
        <v>0</v>
      </c>
      <c r="V31" s="13">
        <f>TRANSICAO!$V$31*CUSTOS!$T$3</f>
        <v>0</v>
      </c>
      <c r="W31" s="13">
        <f>TRANSICAO!$W$31*CUSTOS!$T$3</f>
        <v>0</v>
      </c>
      <c r="X31" s="13">
        <f>TRANSICAO!$X$31*CUSTOS!$T$3</f>
        <v>0</v>
      </c>
      <c r="Y31" s="13">
        <f>TRANSICAO!$Y$31*CUSTOS!$T$3</f>
        <v>223.0094</v>
      </c>
      <c r="Z31" s="13">
        <f>TRANSICAO!$Z$31*CUSTOS!$T$3</f>
        <v>0</v>
      </c>
      <c r="AA31" s="13">
        <f>TRANSICAO!$AA$31*CUSTOS!$T$3</f>
        <v>0</v>
      </c>
      <c r="AB31" s="13">
        <f>TRANSICAO!$AB$31*CUSTOS!$T$3</f>
        <v>0</v>
      </c>
      <c r="AC31" s="13">
        <f>TRANSICAO!$AC$31*CUSTOS!$T$3</f>
        <v>1016.2612</v>
      </c>
      <c r="AD31" s="13">
        <f>TRANSICAO!$AD$31*CUSTOS!$T$3</f>
        <v>0</v>
      </c>
      <c r="AE31" s="13">
        <v>0</v>
      </c>
      <c r="AF31" s="13">
        <v>0</v>
      </c>
      <c r="AG31" s="13"/>
      <c r="AH31" s="13">
        <f>(1 - CUSTOS!$M$28)*30.1982</f>
        <v>30.1982</v>
      </c>
      <c r="AI31" s="13">
        <v>0</v>
      </c>
      <c r="AJ31" s="13">
        <f ca="1">$N$64*(1-CUSTOS!$M$28)</f>
        <v>0</v>
      </c>
      <c r="AK31" s="13">
        <f t="shared" ca="1" si="0"/>
        <v>0</v>
      </c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>
        <f>1*(1 - CUSTOS!$M$28)</f>
        <v>1</v>
      </c>
      <c r="M3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2.6977429332698808</v>
      </c>
      <c r="N32" s="13">
        <f ca="1">(+M32+O32+R32+U32+V32+W32+X32+Y32+Z32+AA32+AC32+AH32+AI32+AJ32+AK32)*CUSTOS!$M$5</f>
        <v>4.4800264293326987E-12</v>
      </c>
      <c r="O32" s="13">
        <f>1 - CUSTOS!$M$28</f>
        <v>1</v>
      </c>
      <c r="P32" s="13">
        <f>1 - CUSTOS!$M$28</f>
        <v>1</v>
      </c>
      <c r="Q32" s="13">
        <f>1*(1 - CUSTOS!$M$28)</f>
        <v>1</v>
      </c>
      <c r="R32" s="13">
        <f>1 - CUSTOS!$M$28</f>
        <v>1</v>
      </c>
      <c r="S32" s="13">
        <f>1 - CUSTOS!$M$28</f>
        <v>1</v>
      </c>
      <c r="T32" s="13"/>
      <c r="U32" s="13">
        <f>TRANSICAO!$U$32*CUSTOS!$T$3</f>
        <v>0</v>
      </c>
      <c r="V32" s="13">
        <f>TRANSICAO!$V$32*CUSTOS!$T$3</f>
        <v>0</v>
      </c>
      <c r="W32" s="13">
        <f>TRANSICAO!$W$32*CUSTOS!$T$3</f>
        <v>0</v>
      </c>
      <c r="X32" s="13">
        <f>TRANSICAO!$X$32*CUSTOS!$T$3</f>
        <v>0</v>
      </c>
      <c r="Y32" s="13">
        <f>TRANSICAO!$Y$32*CUSTOS!$T$3</f>
        <v>74.352800000000002</v>
      </c>
      <c r="Z32" s="13">
        <f>TRANSICAO!$Z$32*CUSTOS!$T$3</f>
        <v>0</v>
      </c>
      <c r="AA32" s="13">
        <f>TRANSICAO!$AA$32*CUSTOS!$T$3</f>
        <v>0</v>
      </c>
      <c r="AB32" s="13">
        <f>TRANSICAO!$AB$32*CUSTOS!$T$3</f>
        <v>0</v>
      </c>
      <c r="AC32" s="13">
        <f>TRANSICAO!$AC$32*CUSTOS!$T$3</f>
        <v>338.75389999999999</v>
      </c>
      <c r="AD32" s="13">
        <f>TRANSICAO!$AD$32*CUSTOS!$T$3</f>
        <v>0</v>
      </c>
      <c r="AE32" s="13">
        <v>0</v>
      </c>
      <c r="AF32" s="13">
        <v>0</v>
      </c>
      <c r="AG32" s="13"/>
      <c r="AH32" s="13">
        <f>(1 - CUSTOS!$M$28)*30.1982</f>
        <v>30.1982</v>
      </c>
      <c r="AI32" s="13">
        <v>0</v>
      </c>
      <c r="AJ32" s="13">
        <f ca="1">$N$64*(1-CUSTOS!$M$28)</f>
        <v>0</v>
      </c>
      <c r="AK32" s="13">
        <f t="shared" ca="1" si="0"/>
        <v>0</v>
      </c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>
        <f>1*(1 - CUSTOS!$M$28)</f>
        <v>1</v>
      </c>
      <c r="M3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2.6977429332698808</v>
      </c>
      <c r="N33" s="13">
        <f ca="1">(+M33+O33+R33+U33+V33+W33+X33+Y33+Z33+AA33+AC33+AH33+AI33+AJ33+AK33)*CUSTOS!$M$5</f>
        <v>6.4240574293326995E-12</v>
      </c>
      <c r="O33" s="13">
        <f>1 - CUSTOS!$M$28</f>
        <v>1</v>
      </c>
      <c r="P33" s="13">
        <f>1 - CUSTOS!$M$28</f>
        <v>1</v>
      </c>
      <c r="Q33" s="13">
        <f>1*(1 - CUSTOS!$M$28)</f>
        <v>1</v>
      </c>
      <c r="R33" s="13">
        <f>1 - CUSTOS!$M$28</f>
        <v>1</v>
      </c>
      <c r="S33" s="13">
        <f>1 - CUSTOS!$M$28</f>
        <v>1</v>
      </c>
      <c r="T33" s="13"/>
      <c r="U33" s="13">
        <f>TRANSICAO!$U$33*CUSTOS!$T$3</f>
        <v>0</v>
      </c>
      <c r="V33" s="13">
        <f>TRANSICAO!$V$33*CUSTOS!$T$3</f>
        <v>0</v>
      </c>
      <c r="W33" s="13">
        <f>TRANSICAO!$W$33*CUSTOS!$T$3</f>
        <v>0</v>
      </c>
      <c r="X33" s="13">
        <f>TRANSICAO!$X$33*CUSTOS!$T$3</f>
        <v>0</v>
      </c>
      <c r="Y33" s="13">
        <f>TRANSICAO!$Y$33*CUSTOS!$T$3</f>
        <v>109.3425</v>
      </c>
      <c r="Z33" s="13">
        <f>TRANSICAO!$Z$33*CUSTOS!$T$3</f>
        <v>0</v>
      </c>
      <c r="AA33" s="13">
        <f>TRANSICAO!$AA$33*CUSTOS!$T$3</f>
        <v>0</v>
      </c>
      <c r="AB33" s="13">
        <f>TRANSICAO!$AB$33*CUSTOS!$T$3</f>
        <v>0</v>
      </c>
      <c r="AC33" s="13">
        <f>TRANSICAO!$AC$33*CUSTOS!$T$3</f>
        <v>498.16730000000001</v>
      </c>
      <c r="AD33" s="13">
        <f>TRANSICAO!$AD$33*CUSTOS!$T$3</f>
        <v>0</v>
      </c>
      <c r="AE33" s="13">
        <v>0</v>
      </c>
      <c r="AF33" s="13">
        <v>0</v>
      </c>
      <c r="AG33" s="13"/>
      <c r="AH33" s="13">
        <f>(1 - CUSTOS!$M$28)*30.1982</f>
        <v>30.1982</v>
      </c>
      <c r="AI33" s="13">
        <v>0</v>
      </c>
      <c r="AJ33" s="13">
        <f ca="1">$N$64*(1-CUSTOS!$M$28)</f>
        <v>0</v>
      </c>
      <c r="AK33" s="13">
        <f t="shared" ca="1" si="0"/>
        <v>0</v>
      </c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>
        <f>1*(1 - CUSTOS!$M$29)</f>
        <v>1</v>
      </c>
      <c r="M3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2.6977429332698808</v>
      </c>
      <c r="N34" s="13">
        <f ca="1">(+M34+O34+R34+U34+V34+W34+X34+Y34+Z34+AA34+AC34+AH34+AI34+AJ34+AK34)*CUSTOS!$M$5</f>
        <v>2.1003310429332697E-11</v>
      </c>
      <c r="O34" s="13">
        <f>1 - CUSTOS!$M$29</f>
        <v>1</v>
      </c>
      <c r="P34" s="13">
        <f>1 - CUSTOS!$M$29</f>
        <v>1</v>
      </c>
      <c r="Q34" s="13">
        <f>1*(1 - CUSTOS!$M$29)</f>
        <v>1</v>
      </c>
      <c r="R34" s="13">
        <f>1 - CUSTOS!$M$29</f>
        <v>1</v>
      </c>
      <c r="S34" s="13">
        <f>1 - CUSTOS!$M$29</f>
        <v>1</v>
      </c>
      <c r="T34" s="13"/>
      <c r="U34" s="13">
        <f>TRANSICAO!$U$34*CUSTOS!$T$3</f>
        <v>0</v>
      </c>
      <c r="V34" s="13">
        <f>TRANSICAO!$V$34*CUSTOS!$T$3</f>
        <v>0</v>
      </c>
      <c r="W34" s="13">
        <f>TRANSICAO!$W$34*CUSTOS!$T$3</f>
        <v>0</v>
      </c>
      <c r="X34" s="13">
        <f>TRANSICAO!$X$34*CUSTOS!$T$3</f>
        <v>0</v>
      </c>
      <c r="Y34" s="13">
        <f>TRANSICAO!$Y$34*CUSTOS!$T$3</f>
        <v>371.666</v>
      </c>
      <c r="Z34" s="13">
        <f>TRANSICAO!$Z$34*CUSTOS!$T$3</f>
        <v>0</v>
      </c>
      <c r="AA34" s="13">
        <f>TRANSICAO!$AA$34*CUSTOS!$T$3</f>
        <v>0</v>
      </c>
      <c r="AB34" s="13">
        <f>TRANSICAO!$AB$34*CUSTOS!$T$3</f>
        <v>0</v>
      </c>
      <c r="AC34" s="13">
        <f>TRANSICAO!$AC$34*CUSTOS!$T$3</f>
        <v>1693.7691</v>
      </c>
      <c r="AD34" s="13">
        <f>TRANSICAO!$AD$34*CUSTOS!$T$3</f>
        <v>0</v>
      </c>
      <c r="AE34" s="13">
        <v>0</v>
      </c>
      <c r="AF34" s="13">
        <v>0</v>
      </c>
      <c r="AG34" s="13"/>
      <c r="AH34" s="13">
        <f>(1 - CUSTOS!$M$29)*30.1982</f>
        <v>30.1982</v>
      </c>
      <c r="AI34" s="13">
        <v>0</v>
      </c>
      <c r="AJ34" s="13">
        <f ca="1">$N$64*(1-CUSTOS!$M$29)</f>
        <v>0</v>
      </c>
      <c r="AK34" s="13">
        <f t="shared" ca="1" si="0"/>
        <v>0</v>
      </c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>
        <f>1*(1 - CUSTOS!$M$29)</f>
        <v>1</v>
      </c>
      <c r="M3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2.6977429332698808</v>
      </c>
      <c r="N35" s="13">
        <f ca="1">(+M35+O35+R35+U35+V35+W35+X35+Y35+Z35+AA35+AC35+AH35+AI35+AJ35+AK35)*CUSTOS!$M$5</f>
        <v>1.27416654293327E-11</v>
      </c>
      <c r="O35" s="13">
        <f>1 - CUSTOS!$M$29</f>
        <v>1</v>
      </c>
      <c r="P35" s="13">
        <f>1 - CUSTOS!$M$29</f>
        <v>1</v>
      </c>
      <c r="Q35" s="13">
        <f>1*(1 - CUSTOS!$M$29)</f>
        <v>1</v>
      </c>
      <c r="R35" s="13">
        <f>1 - CUSTOS!$M$29</f>
        <v>1</v>
      </c>
      <c r="S35" s="13">
        <f>1 - CUSTOS!$M$29</f>
        <v>1</v>
      </c>
      <c r="T35" s="13"/>
      <c r="U35" s="13">
        <f>TRANSICAO!$U$35*CUSTOS!$T$3</f>
        <v>0</v>
      </c>
      <c r="V35" s="13">
        <f>TRANSICAO!$V$35*CUSTOS!$T$3</f>
        <v>0</v>
      </c>
      <c r="W35" s="13">
        <f>TRANSICAO!$W$35*CUSTOS!$T$3</f>
        <v>0</v>
      </c>
      <c r="X35" s="13">
        <f>TRANSICAO!$X$35*CUSTOS!$T$3</f>
        <v>0</v>
      </c>
      <c r="Y35" s="13">
        <f>TRANSICAO!$Y$35*CUSTOS!$T$3</f>
        <v>223.0094</v>
      </c>
      <c r="Z35" s="13">
        <f>TRANSICAO!$Z$35*CUSTOS!$T$3</f>
        <v>0</v>
      </c>
      <c r="AA35" s="13">
        <f>TRANSICAO!$AA$35*CUSTOS!$T$3</f>
        <v>0</v>
      </c>
      <c r="AB35" s="13">
        <f>TRANSICAO!$AB$35*CUSTOS!$T$3</f>
        <v>0</v>
      </c>
      <c r="AC35" s="13">
        <f>TRANSICAO!$AC$35*CUSTOS!$T$3</f>
        <v>1016.2612</v>
      </c>
      <c r="AD35" s="13">
        <f>TRANSICAO!$AD$35*CUSTOS!$T$3</f>
        <v>0</v>
      </c>
      <c r="AE35" s="13">
        <v>0</v>
      </c>
      <c r="AF35" s="13">
        <v>0</v>
      </c>
      <c r="AG35" s="13"/>
      <c r="AH35" s="13">
        <f>(1 - CUSTOS!$M$29)*30.1982</f>
        <v>30.1982</v>
      </c>
      <c r="AI35" s="13">
        <v>0</v>
      </c>
      <c r="AJ35" s="13">
        <f ca="1">$N$64*(1-CUSTOS!$M$29)</f>
        <v>0</v>
      </c>
      <c r="AK35" s="13">
        <f t="shared" ca="1" si="0"/>
        <v>0</v>
      </c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>
        <f>1*(1 - CUSTOS!$M$29)</f>
        <v>1</v>
      </c>
      <c r="M3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2.6977429332698808</v>
      </c>
      <c r="N36" s="13">
        <f ca="1">(+M36+O36+R36+U36+V36+W36+X36+Y36+Z36+AA36+AC36+AH36+AI36+AJ36+AK36)*CUSTOS!$M$5</f>
        <v>4.4800264293326987E-12</v>
      </c>
      <c r="O36" s="13">
        <f>1 - CUSTOS!$M$29</f>
        <v>1</v>
      </c>
      <c r="P36" s="13">
        <f>1 - CUSTOS!$M$29</f>
        <v>1</v>
      </c>
      <c r="Q36" s="13">
        <f>1*(1 - CUSTOS!$M$29)</f>
        <v>1</v>
      </c>
      <c r="R36" s="13">
        <f>1 - CUSTOS!$M$29</f>
        <v>1</v>
      </c>
      <c r="S36" s="13">
        <f>1 - CUSTOS!$M$29</f>
        <v>1</v>
      </c>
      <c r="T36" s="13"/>
      <c r="U36" s="13">
        <f>TRANSICAO!$U$36*CUSTOS!$T$3</f>
        <v>0</v>
      </c>
      <c r="V36" s="13">
        <f>TRANSICAO!$V$36*CUSTOS!$T$3</f>
        <v>0</v>
      </c>
      <c r="W36" s="13">
        <f>TRANSICAO!$W$36*CUSTOS!$T$3</f>
        <v>0</v>
      </c>
      <c r="X36" s="13">
        <f>TRANSICAO!$X$36*CUSTOS!$T$3</f>
        <v>0</v>
      </c>
      <c r="Y36" s="13">
        <f>TRANSICAO!$Y$36*CUSTOS!$T$3</f>
        <v>74.352800000000002</v>
      </c>
      <c r="Z36" s="13">
        <f>TRANSICAO!$Z$36*CUSTOS!$T$3</f>
        <v>0</v>
      </c>
      <c r="AA36" s="13">
        <f>TRANSICAO!$AA$36*CUSTOS!$T$3</f>
        <v>0</v>
      </c>
      <c r="AB36" s="13">
        <f>TRANSICAO!$AB$36*CUSTOS!$T$3</f>
        <v>0</v>
      </c>
      <c r="AC36" s="13">
        <f>TRANSICAO!$AC$36*CUSTOS!$T$3</f>
        <v>338.75389999999999</v>
      </c>
      <c r="AD36" s="13">
        <f>TRANSICAO!$AD$36*CUSTOS!$T$3</f>
        <v>0</v>
      </c>
      <c r="AE36" s="13">
        <v>0</v>
      </c>
      <c r="AF36" s="13">
        <v>0</v>
      </c>
      <c r="AG36" s="13"/>
      <c r="AH36" s="13">
        <f>(1 - CUSTOS!$M$29)*30.1982</f>
        <v>30.1982</v>
      </c>
      <c r="AI36" s="13">
        <v>0</v>
      </c>
      <c r="AJ36" s="13">
        <f ca="1">$N$64*(1-CUSTOS!$M$29)</f>
        <v>0</v>
      </c>
      <c r="AK36" s="13">
        <f t="shared" ca="1" si="0"/>
        <v>0</v>
      </c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>
        <f>1*(1 - CUSTOS!$M$29)</f>
        <v>1</v>
      </c>
      <c r="M3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2.6977429332698808</v>
      </c>
      <c r="N37" s="13">
        <f ca="1">(+M37+O37+R37+U37+V37+W37+X37+Y37+Z37+AA37+AC37+AH37+AI37+AJ37+AK37)*CUSTOS!$M$5</f>
        <v>6.4240574293326995E-12</v>
      </c>
      <c r="O37" s="13">
        <f>1 - CUSTOS!$M$29</f>
        <v>1</v>
      </c>
      <c r="P37" s="13">
        <f>1 - CUSTOS!$M$29</f>
        <v>1</v>
      </c>
      <c r="Q37" s="13">
        <f>1*(1 - CUSTOS!$M$29)</f>
        <v>1</v>
      </c>
      <c r="R37" s="13">
        <f>1 - CUSTOS!$M$29</f>
        <v>1</v>
      </c>
      <c r="S37" s="13">
        <f>1 - CUSTOS!$M$29</f>
        <v>1</v>
      </c>
      <c r="T37" s="13"/>
      <c r="U37" s="13">
        <f>TRANSICAO!$U$37*CUSTOS!$T$3</f>
        <v>0</v>
      </c>
      <c r="V37" s="13">
        <f>TRANSICAO!$V$37*CUSTOS!$T$3</f>
        <v>0</v>
      </c>
      <c r="W37" s="13">
        <f>TRANSICAO!$W$37*CUSTOS!$T$3</f>
        <v>0</v>
      </c>
      <c r="X37" s="13">
        <f>TRANSICAO!$X$37*CUSTOS!$T$3</f>
        <v>0</v>
      </c>
      <c r="Y37" s="13">
        <f>TRANSICAO!$Y$37*CUSTOS!$T$3</f>
        <v>109.3425</v>
      </c>
      <c r="Z37" s="13">
        <f>TRANSICAO!$Z$37*CUSTOS!$T$3</f>
        <v>0</v>
      </c>
      <c r="AA37" s="13">
        <f>TRANSICAO!$AA$37*CUSTOS!$T$3</f>
        <v>0</v>
      </c>
      <c r="AB37" s="13">
        <f>TRANSICAO!$AB$37*CUSTOS!$T$3</f>
        <v>0</v>
      </c>
      <c r="AC37" s="13">
        <f>TRANSICAO!$AC$37*CUSTOS!$T$3</f>
        <v>498.16730000000001</v>
      </c>
      <c r="AD37" s="13">
        <f>TRANSICAO!$AD$37*CUSTOS!$T$3</f>
        <v>0</v>
      </c>
      <c r="AE37" s="13">
        <v>0</v>
      </c>
      <c r="AF37" s="13">
        <v>0</v>
      </c>
      <c r="AG37" s="13"/>
      <c r="AH37" s="13">
        <f>(1 - CUSTOS!$M$29)*30.1982</f>
        <v>30.1982</v>
      </c>
      <c r="AI37" s="13">
        <v>0</v>
      </c>
      <c r="AJ37" s="13">
        <f ca="1">$N$64*(1-CUSTOS!$M$29)</f>
        <v>0</v>
      </c>
      <c r="AK37" s="13">
        <f t="shared" ca="1" si="0"/>
        <v>0</v>
      </c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>
        <f>1*(1 - CUSTOS!$M$30)</f>
        <v>1</v>
      </c>
      <c r="M3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2.6977429332698808</v>
      </c>
      <c r="N38" s="13">
        <f ca="1">(+M38+O38+R38+U38+V38+W38+X38+Y38+Z38+AA38+AC38+AH38+AI38+AJ38+AK38)*CUSTOS!$M$5</f>
        <v>2.1003310429332697E-11</v>
      </c>
      <c r="O38" s="13">
        <f>1 - CUSTOS!$M$30</f>
        <v>1</v>
      </c>
      <c r="P38" s="13">
        <f>1 - CUSTOS!$M$30</f>
        <v>1</v>
      </c>
      <c r="Q38" s="13">
        <f>1*(1 - CUSTOS!$M$30)</f>
        <v>1</v>
      </c>
      <c r="R38" s="13">
        <f>1 - CUSTOS!$M$30</f>
        <v>1</v>
      </c>
      <c r="S38" s="13">
        <f>1 - CUSTOS!$M$30</f>
        <v>1</v>
      </c>
      <c r="T38" s="13"/>
      <c r="U38" s="13">
        <f>TRANSICAO!$U$38*CUSTOS!$T$3</f>
        <v>0</v>
      </c>
      <c r="V38" s="13">
        <f>TRANSICAO!$V$38*CUSTOS!$T$3</f>
        <v>0</v>
      </c>
      <c r="W38" s="13">
        <f>TRANSICAO!$W$38*CUSTOS!$T$3</f>
        <v>0</v>
      </c>
      <c r="X38" s="13">
        <f>TRANSICAO!$X$38*CUSTOS!$T$3</f>
        <v>0</v>
      </c>
      <c r="Y38" s="13">
        <f>TRANSICAO!$Y$38*CUSTOS!$T$3</f>
        <v>371.666</v>
      </c>
      <c r="Z38" s="13">
        <f>TRANSICAO!$Z$38*CUSTOS!$T$3</f>
        <v>0</v>
      </c>
      <c r="AA38" s="13">
        <f>TRANSICAO!$AA$38*CUSTOS!$T$3</f>
        <v>0</v>
      </c>
      <c r="AB38" s="13">
        <f>TRANSICAO!$AB$38*CUSTOS!$T$3</f>
        <v>0</v>
      </c>
      <c r="AC38" s="13">
        <f>TRANSICAO!$AC$38*CUSTOS!$T$3</f>
        <v>1693.7691</v>
      </c>
      <c r="AD38" s="13">
        <f>TRANSICAO!$AD$38*CUSTOS!$T$3</f>
        <v>0</v>
      </c>
      <c r="AE38" s="13">
        <v>0</v>
      </c>
      <c r="AF38" s="13">
        <v>0</v>
      </c>
      <c r="AG38" s="13"/>
      <c r="AH38" s="13">
        <f>(1 - CUSTOS!$M$30)*30.1982</f>
        <v>30.1982</v>
      </c>
      <c r="AI38" s="13">
        <v>0</v>
      </c>
      <c r="AJ38" s="13">
        <f ca="1">$N$64*(1-CUSTOS!$M$30)</f>
        <v>0</v>
      </c>
      <c r="AK38" s="13">
        <f t="shared" ca="1" si="0"/>
        <v>0</v>
      </c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>
        <f>1*(1 - CUSTOS!$M$30)</f>
        <v>1</v>
      </c>
      <c r="M3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2.6977429332698808</v>
      </c>
      <c r="N39" s="13">
        <f ca="1">(+M39+O39+R39+U39+V39+W39+X39+Y39+Z39+AA39+AC39+AH39+AI39+AJ39+AK39)*CUSTOS!$M$5</f>
        <v>1.27416654293327E-11</v>
      </c>
      <c r="O39" s="13">
        <f>1 - CUSTOS!$M$30</f>
        <v>1</v>
      </c>
      <c r="P39" s="13">
        <f>1 - CUSTOS!$M$30</f>
        <v>1</v>
      </c>
      <c r="Q39" s="13">
        <f>1*(1 - CUSTOS!$M$30)</f>
        <v>1</v>
      </c>
      <c r="R39" s="13">
        <f>1 - CUSTOS!$M$30</f>
        <v>1</v>
      </c>
      <c r="S39" s="13">
        <f>1 - CUSTOS!$M$30</f>
        <v>1</v>
      </c>
      <c r="T39" s="13"/>
      <c r="U39" s="13">
        <f>TRANSICAO!$U$39*CUSTOS!$T$3</f>
        <v>0</v>
      </c>
      <c r="V39" s="13">
        <f>TRANSICAO!$V$39*CUSTOS!$T$3</f>
        <v>0</v>
      </c>
      <c r="W39" s="13">
        <f>TRANSICAO!$W$39*CUSTOS!$T$3</f>
        <v>0</v>
      </c>
      <c r="X39" s="13">
        <f>TRANSICAO!$X$39*CUSTOS!$T$3</f>
        <v>0</v>
      </c>
      <c r="Y39" s="13">
        <f>TRANSICAO!$Y$39*CUSTOS!$T$3</f>
        <v>223.0094</v>
      </c>
      <c r="Z39" s="13">
        <f>TRANSICAO!$Z$39*CUSTOS!$T$3</f>
        <v>0</v>
      </c>
      <c r="AA39" s="13">
        <f>TRANSICAO!$AA$39*CUSTOS!$T$3</f>
        <v>0</v>
      </c>
      <c r="AB39" s="13">
        <f>TRANSICAO!$AB$39*CUSTOS!$T$3</f>
        <v>0</v>
      </c>
      <c r="AC39" s="13">
        <f>TRANSICAO!$AC$39*CUSTOS!$T$3</f>
        <v>1016.2612</v>
      </c>
      <c r="AD39" s="13">
        <f>TRANSICAO!$AD$39*CUSTOS!$T$3</f>
        <v>0</v>
      </c>
      <c r="AE39" s="13">
        <v>0</v>
      </c>
      <c r="AF39" s="13">
        <v>0</v>
      </c>
      <c r="AG39" s="13"/>
      <c r="AH39" s="13">
        <f>(1 - CUSTOS!$M$30)*30.1982</f>
        <v>30.1982</v>
      </c>
      <c r="AI39" s="13">
        <v>0</v>
      </c>
      <c r="AJ39" s="13">
        <f ca="1">$N$64*(1-CUSTOS!$M$30)</f>
        <v>0</v>
      </c>
      <c r="AK39" s="13">
        <f t="shared" ca="1" si="0"/>
        <v>0</v>
      </c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>
        <f>1*(1 - CUSTOS!$M$30)</f>
        <v>1</v>
      </c>
      <c r="M4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2.6977429332698808</v>
      </c>
      <c r="N40" s="13">
        <f ca="1">(+M40+O40+R40+U40+V40+W40+X40+Y40+Z40+AA40+AC40+AH40+AI40+AJ40+AK40)*CUSTOS!$M$5</f>
        <v>4.4800264293326987E-12</v>
      </c>
      <c r="O40" s="13">
        <f>1 - CUSTOS!$M$30</f>
        <v>1</v>
      </c>
      <c r="P40" s="13">
        <f>1 - CUSTOS!$M$30</f>
        <v>1</v>
      </c>
      <c r="Q40" s="13">
        <f>1*(1 - CUSTOS!$M$30)</f>
        <v>1</v>
      </c>
      <c r="R40" s="13">
        <f>1 - CUSTOS!$M$30</f>
        <v>1</v>
      </c>
      <c r="S40" s="13">
        <f>1 - CUSTOS!$M$30</f>
        <v>1</v>
      </c>
      <c r="T40" s="13"/>
      <c r="U40" s="13">
        <f>TRANSICAO!$U$40*CUSTOS!$T$3</f>
        <v>0</v>
      </c>
      <c r="V40" s="13">
        <f>TRANSICAO!$V$40*CUSTOS!$T$3</f>
        <v>0</v>
      </c>
      <c r="W40" s="13">
        <f>TRANSICAO!$W$40*CUSTOS!$T$3</f>
        <v>0</v>
      </c>
      <c r="X40" s="13">
        <f>TRANSICAO!$X$40*CUSTOS!$T$3</f>
        <v>0</v>
      </c>
      <c r="Y40" s="13">
        <f>TRANSICAO!$Y$40*CUSTOS!$T$3</f>
        <v>74.352800000000002</v>
      </c>
      <c r="Z40" s="13">
        <f>TRANSICAO!$Z$40*CUSTOS!$T$3</f>
        <v>0</v>
      </c>
      <c r="AA40" s="13">
        <f>TRANSICAO!$AA$40*CUSTOS!$T$3</f>
        <v>0</v>
      </c>
      <c r="AB40" s="13">
        <f>TRANSICAO!$AB$40*CUSTOS!$T$3</f>
        <v>0</v>
      </c>
      <c r="AC40" s="13">
        <f>TRANSICAO!$AC$40*CUSTOS!$T$3</f>
        <v>338.75389999999999</v>
      </c>
      <c r="AD40" s="13">
        <f>TRANSICAO!$AD$40*CUSTOS!$T$3</f>
        <v>0</v>
      </c>
      <c r="AE40" s="13">
        <v>0</v>
      </c>
      <c r="AF40" s="13">
        <v>0</v>
      </c>
      <c r="AG40" s="13"/>
      <c r="AH40" s="13">
        <f>(1 - CUSTOS!$M$30)*30.1982</f>
        <v>30.1982</v>
      </c>
      <c r="AI40" s="13">
        <v>0</v>
      </c>
      <c r="AJ40" s="13">
        <f ca="1">$N$64*(1-CUSTOS!$M$30)</f>
        <v>0</v>
      </c>
      <c r="AK40" s="13">
        <f t="shared" ca="1" si="0"/>
        <v>0</v>
      </c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>
        <f>1*(1 - CUSTOS!$M$30)</f>
        <v>1</v>
      </c>
      <c r="M4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2.6977429332698808</v>
      </c>
      <c r="N41" s="13">
        <f ca="1">(+M41+O41+R41+U41+V41+W41+X41+Y41+Z41+AA41+AC41+AH41+AI41+AJ41+AK41)*CUSTOS!$M$5</f>
        <v>6.4240574293326995E-12</v>
      </c>
      <c r="O41" s="13">
        <f>1 - CUSTOS!$M$30</f>
        <v>1</v>
      </c>
      <c r="P41" s="13">
        <f>1 - CUSTOS!$M$30</f>
        <v>1</v>
      </c>
      <c r="Q41" s="13">
        <f>1*(1 - CUSTOS!$M$30)</f>
        <v>1</v>
      </c>
      <c r="R41" s="13">
        <f>1 - CUSTOS!$M$30</f>
        <v>1</v>
      </c>
      <c r="S41" s="13">
        <f>1 - CUSTOS!$M$30</f>
        <v>1</v>
      </c>
      <c r="T41" s="13"/>
      <c r="U41" s="13">
        <f>TRANSICAO!$U$41*CUSTOS!$T$3</f>
        <v>0</v>
      </c>
      <c r="V41" s="13">
        <f>TRANSICAO!$V$41*CUSTOS!$T$3</f>
        <v>0</v>
      </c>
      <c r="W41" s="13">
        <f>TRANSICAO!$W$41*CUSTOS!$T$3</f>
        <v>0</v>
      </c>
      <c r="X41" s="13">
        <f>TRANSICAO!$X$41*CUSTOS!$T$3</f>
        <v>0</v>
      </c>
      <c r="Y41" s="13">
        <f>TRANSICAO!$Y$41*CUSTOS!$T$3</f>
        <v>109.3425</v>
      </c>
      <c r="Z41" s="13">
        <f>TRANSICAO!$Z$41*CUSTOS!$T$3</f>
        <v>0</v>
      </c>
      <c r="AA41" s="13">
        <f>TRANSICAO!$AA$41*CUSTOS!$T$3</f>
        <v>0</v>
      </c>
      <c r="AB41" s="13">
        <f>TRANSICAO!$AB$41*CUSTOS!$T$3</f>
        <v>0</v>
      </c>
      <c r="AC41" s="13">
        <f>TRANSICAO!$AC$41*CUSTOS!$T$3</f>
        <v>498.16730000000001</v>
      </c>
      <c r="AD41" s="13">
        <f>TRANSICAO!$AD$41*CUSTOS!$T$3</f>
        <v>0</v>
      </c>
      <c r="AE41" s="13">
        <v>0</v>
      </c>
      <c r="AF41" s="13">
        <v>0</v>
      </c>
      <c r="AG41" s="13"/>
      <c r="AH41" s="13">
        <f>(1 - CUSTOS!$M$30)*30.1982</f>
        <v>30.1982</v>
      </c>
      <c r="AI41" s="13">
        <v>0</v>
      </c>
      <c r="AJ41" s="13">
        <f ca="1">$N$64*(1-CUSTOS!$M$30)</f>
        <v>0</v>
      </c>
      <c r="AK41" s="13">
        <f t="shared" ca="1" si="0"/>
        <v>0</v>
      </c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>
        <f>1*(1 - CUSTOS!$M$28)</f>
        <v>1</v>
      </c>
      <c r="M4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2.6977429332698808</v>
      </c>
      <c r="N42" s="13">
        <f ca="1">(+M42+O42+R42+U42+V42+W42+X42+Y42+Z42+AA42+AC42+AH42+AI42+AJ42+AK42)*CUSTOS!$M$5</f>
        <v>6.4240574293326995E-12</v>
      </c>
      <c r="O42" s="13">
        <f>1 - CUSTOS!$M$28</f>
        <v>1</v>
      </c>
      <c r="P42" s="13">
        <f>1 - CUSTOS!$M$28</f>
        <v>1</v>
      </c>
      <c r="Q42" s="13">
        <f>1*(1 - CUSTOS!$M$28)</f>
        <v>1</v>
      </c>
      <c r="R42" s="13">
        <f>1 - CUSTOS!$M$28</f>
        <v>1</v>
      </c>
      <c r="S42" s="13">
        <f>1 - CUSTOS!$M$28</f>
        <v>1</v>
      </c>
      <c r="T42" s="13"/>
      <c r="U42" s="13">
        <f>TRANSICAO!$U$42*CUSTOS!$T$3</f>
        <v>0</v>
      </c>
      <c r="V42" s="13">
        <f>TRANSICAO!$V$42*CUSTOS!$T$3</f>
        <v>0</v>
      </c>
      <c r="W42" s="13">
        <f>TRANSICAO!$W$42*CUSTOS!$T$3</f>
        <v>0</v>
      </c>
      <c r="X42" s="13">
        <f>TRANSICAO!$X$42*CUSTOS!$T$3</f>
        <v>0</v>
      </c>
      <c r="Y42" s="13">
        <f>TRANSICAO!$Y$42*CUSTOS!$T$3</f>
        <v>109.3425</v>
      </c>
      <c r="Z42" s="13">
        <f>TRANSICAO!$Z$42*CUSTOS!$T$3</f>
        <v>0</v>
      </c>
      <c r="AA42" s="13">
        <f>TRANSICAO!$AA$42*CUSTOS!$T$3</f>
        <v>0</v>
      </c>
      <c r="AB42" s="13">
        <f>TRANSICAO!$AB$42*CUSTOS!$T$3</f>
        <v>0</v>
      </c>
      <c r="AC42" s="13">
        <f>TRANSICAO!$AC$42*CUSTOS!$T$3</f>
        <v>498.16730000000001</v>
      </c>
      <c r="AD42" s="13">
        <f>TRANSICAO!$AD$42*CUSTOS!$T$3</f>
        <v>0</v>
      </c>
      <c r="AE42" s="13">
        <v>0</v>
      </c>
      <c r="AF42" s="13">
        <v>0</v>
      </c>
      <c r="AG42" s="13"/>
      <c r="AH42" s="13">
        <f>(1 - CUSTOS!$M$28)*30.1982</f>
        <v>30.1982</v>
      </c>
      <c r="AI42" s="13">
        <v>0</v>
      </c>
      <c r="AJ42" s="13">
        <f ca="1">$N$64*(1-CUSTOS!$M$28)</f>
        <v>0</v>
      </c>
      <c r="AK42" s="13">
        <f t="shared" ca="1" si="0"/>
        <v>0</v>
      </c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>
        <f>1*(1 - CUSTOS!$M$29)</f>
        <v>1</v>
      </c>
      <c r="M4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2.6977429332698808</v>
      </c>
      <c r="N43" s="13">
        <f ca="1">(+M43+O43+R43+U43+V43+W43+X43+Y43+Z43+AA43+AC43+AH43+AI43+AJ43+AK43)*CUSTOS!$M$5</f>
        <v>6.4240574293326995E-12</v>
      </c>
      <c r="O43" s="13">
        <f>1 - CUSTOS!$M$29</f>
        <v>1</v>
      </c>
      <c r="P43" s="13">
        <f>1 - CUSTOS!$M$29</f>
        <v>1</v>
      </c>
      <c r="Q43" s="13">
        <f>1*(1 - CUSTOS!$M$29)</f>
        <v>1</v>
      </c>
      <c r="R43" s="13">
        <f>1 - CUSTOS!$M$29</f>
        <v>1</v>
      </c>
      <c r="S43" s="13">
        <f>1 - CUSTOS!$M$29</f>
        <v>1</v>
      </c>
      <c r="T43" s="13"/>
      <c r="U43" s="13">
        <f>TRANSICAO!$U$43*CUSTOS!$T$3</f>
        <v>0</v>
      </c>
      <c r="V43" s="13">
        <f>TRANSICAO!$V$43*CUSTOS!$T$3</f>
        <v>0</v>
      </c>
      <c r="W43" s="13">
        <f>TRANSICAO!$W$43*CUSTOS!$T$3</f>
        <v>0</v>
      </c>
      <c r="X43" s="13">
        <f>TRANSICAO!$X$43*CUSTOS!$T$3</f>
        <v>0</v>
      </c>
      <c r="Y43" s="13">
        <f>TRANSICAO!$Y$43*CUSTOS!$T$3</f>
        <v>109.3425</v>
      </c>
      <c r="Z43" s="13">
        <f>TRANSICAO!$Z$43*CUSTOS!$T$3</f>
        <v>0</v>
      </c>
      <c r="AA43" s="13">
        <f>TRANSICAO!$AA$43*CUSTOS!$T$3</f>
        <v>0</v>
      </c>
      <c r="AB43" s="13">
        <f>TRANSICAO!$AB$43*CUSTOS!$T$3</f>
        <v>0</v>
      </c>
      <c r="AC43" s="13">
        <f>TRANSICAO!$AC$43*CUSTOS!$T$3</f>
        <v>498.16730000000001</v>
      </c>
      <c r="AD43" s="13">
        <f>TRANSICAO!$AD$43*CUSTOS!$T$3</f>
        <v>0</v>
      </c>
      <c r="AE43" s="13">
        <v>0</v>
      </c>
      <c r="AF43" s="13">
        <v>0</v>
      </c>
      <c r="AG43" s="13"/>
      <c r="AH43" s="13">
        <f>(1 - CUSTOS!$M$29)*30.1982</f>
        <v>30.1982</v>
      </c>
      <c r="AI43" s="13">
        <v>0</v>
      </c>
      <c r="AJ43" s="13">
        <f ca="1">$N$64*(1-CUSTOS!$M$29)</f>
        <v>0</v>
      </c>
      <c r="AK43" s="13">
        <f t="shared" ca="1" si="0"/>
        <v>0</v>
      </c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>
        <f>1*(1 - CUSTOS!$M$30)</f>
        <v>1</v>
      </c>
      <c r="M4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2.6977429332698808</v>
      </c>
      <c r="N44" s="13">
        <f ca="1">(+M44+O44+R44+U44+V44+W44+X44+Y44+Z44+AA44+AC44+AH44+AI44+AJ44+AK44)*CUSTOS!$M$5</f>
        <v>6.4240574293326995E-12</v>
      </c>
      <c r="O44" s="13">
        <f>1 - CUSTOS!$M$30</f>
        <v>1</v>
      </c>
      <c r="P44" s="13">
        <f>1 - CUSTOS!$M$30</f>
        <v>1</v>
      </c>
      <c r="Q44" s="13">
        <f>1*(1 - CUSTOS!$M$30)</f>
        <v>1</v>
      </c>
      <c r="R44" s="13">
        <f>1 - CUSTOS!$M$30</f>
        <v>1</v>
      </c>
      <c r="S44" s="13">
        <f>1 - CUSTOS!$M$30</f>
        <v>1</v>
      </c>
      <c r="T44" s="13"/>
      <c r="U44" s="13">
        <f>TRANSICAO!$U$44*CUSTOS!$T$3</f>
        <v>0</v>
      </c>
      <c r="V44" s="13">
        <f>TRANSICAO!$V$44*CUSTOS!$T$3</f>
        <v>0</v>
      </c>
      <c r="W44" s="13">
        <f>TRANSICAO!$W$44*CUSTOS!$T$3</f>
        <v>0</v>
      </c>
      <c r="X44" s="13">
        <f>TRANSICAO!$X$44*CUSTOS!$T$3</f>
        <v>0</v>
      </c>
      <c r="Y44" s="13">
        <f>TRANSICAO!$Y$44*CUSTOS!$T$3</f>
        <v>109.3425</v>
      </c>
      <c r="Z44" s="13">
        <f>TRANSICAO!$Z$44*CUSTOS!$T$3</f>
        <v>0</v>
      </c>
      <c r="AA44" s="13">
        <f>TRANSICAO!$AA$44*CUSTOS!$T$3</f>
        <v>0</v>
      </c>
      <c r="AB44" s="13">
        <f>TRANSICAO!$AB$44*CUSTOS!$T$3</f>
        <v>0</v>
      </c>
      <c r="AC44" s="13">
        <f>TRANSICAO!$AC$44*CUSTOS!$T$3</f>
        <v>498.16730000000001</v>
      </c>
      <c r="AD44" s="13">
        <f>TRANSICAO!$AD$44*CUSTOS!$T$3</f>
        <v>0</v>
      </c>
      <c r="AE44" s="13">
        <v>0</v>
      </c>
      <c r="AF44" s="13">
        <v>0</v>
      </c>
      <c r="AG44" s="13"/>
      <c r="AH44" s="13">
        <f>(1 - CUSTOS!$M$30)*30.1982</f>
        <v>30.1982</v>
      </c>
      <c r="AI44" s="13">
        <v>0</v>
      </c>
      <c r="AJ44" s="13">
        <f ca="1">$N$64*(1-CUSTOS!$M$30)</f>
        <v>0</v>
      </c>
      <c r="AK44" s="13">
        <f t="shared" ca="1" si="0"/>
        <v>0</v>
      </c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>
        <f>1*(1 - CUSTOS!$M$31)</f>
        <v>1</v>
      </c>
      <c r="M4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2.6977429332698808</v>
      </c>
      <c r="N45" s="13">
        <f ca="1">(+M45+O45+R45+U45+V45+W45+X45+Y45+Z45+AA45+AC45+AH45+AI45+AJ45+AK45)*CUSTOS!$M$5</f>
        <v>2.1307430429332699E-11</v>
      </c>
      <c r="O45" s="13">
        <f>1 - CUSTOS!$M$31</f>
        <v>1</v>
      </c>
      <c r="P45" s="13">
        <f>1 - CUSTOS!$M$31</f>
        <v>1</v>
      </c>
      <c r="Q45" s="13">
        <f>1*(1 - CUSTOS!$M$31)</f>
        <v>1</v>
      </c>
      <c r="R45" s="13">
        <f>1 - CUSTOS!$M$31</f>
        <v>1</v>
      </c>
      <c r="S45" s="13">
        <f>1 - CUSTOS!$M$31</f>
        <v>1</v>
      </c>
      <c r="T45" s="13"/>
      <c r="U45" s="13">
        <f>TRANSICAO!$U$45*CUSTOS!$T$3</f>
        <v>0</v>
      </c>
      <c r="V45" s="13">
        <f>TRANSICAO!$V$45*CUSTOS!$T$3</f>
        <v>0</v>
      </c>
      <c r="W45" s="13">
        <f>TRANSICAO!$W$45*CUSTOS!$T$3</f>
        <v>0</v>
      </c>
      <c r="X45" s="13">
        <f>TRANSICAO!$X$45*CUSTOS!$T$3</f>
        <v>0</v>
      </c>
      <c r="Y45" s="13">
        <f>TRANSICAO!$Y$45*CUSTOS!$T$3</f>
        <v>377.16989999999998</v>
      </c>
      <c r="Z45" s="13">
        <f>TRANSICAO!$Z$45*CUSTOS!$T$3</f>
        <v>0</v>
      </c>
      <c r="AA45" s="13">
        <f>TRANSICAO!$AA$45*CUSTOS!$T$3</f>
        <v>0</v>
      </c>
      <c r="AB45" s="13">
        <f>TRANSICAO!$AB$45*CUSTOS!$T$3</f>
        <v>0</v>
      </c>
      <c r="AC45" s="13">
        <f>TRANSICAO!$AC$45*CUSTOS!$T$3</f>
        <v>1718.6772000000001</v>
      </c>
      <c r="AD45" s="13">
        <f>TRANSICAO!$AD$45*CUSTOS!$T$3</f>
        <v>0</v>
      </c>
      <c r="AE45" s="13">
        <v>0</v>
      </c>
      <c r="AF45" s="13">
        <v>0</v>
      </c>
      <c r="AG45" s="13"/>
      <c r="AH45" s="13">
        <f>(1 - CUSTOS!$M$31)*30.1982</f>
        <v>30.1982</v>
      </c>
      <c r="AI45" s="13">
        <v>0</v>
      </c>
      <c r="AJ45" s="13">
        <f ca="1">$N$64*(1-CUSTOS!$M$31)</f>
        <v>0</v>
      </c>
      <c r="AK45" s="13">
        <f t="shared" ca="1" si="0"/>
        <v>0</v>
      </c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>
        <f>1*(1 - CUSTOS!$M$31)</f>
        <v>1</v>
      </c>
      <c r="M4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2.6977429332698808</v>
      </c>
      <c r="N46" s="13">
        <f ca="1">(+M46+O46+R46+U46+V46+W46+X46+Y46+Z46+AA46+AC46+AH46+AI46+AJ46+AK46)*CUSTOS!$M$5</f>
        <v>1.2923551429332699E-11</v>
      </c>
      <c r="O46" s="13">
        <f>1 - CUSTOS!$M$31</f>
        <v>1</v>
      </c>
      <c r="P46" s="13">
        <f>1 - CUSTOS!$M$31</f>
        <v>1</v>
      </c>
      <c r="Q46" s="13">
        <f>1*(1 - CUSTOS!$M$31)</f>
        <v>1</v>
      </c>
      <c r="R46" s="13">
        <f>1 - CUSTOS!$M$31</f>
        <v>1</v>
      </c>
      <c r="S46" s="13">
        <f>1 - CUSTOS!$M$31</f>
        <v>1</v>
      </c>
      <c r="T46" s="13"/>
      <c r="U46" s="13">
        <f>TRANSICAO!$U$46*CUSTOS!$T$3</f>
        <v>0</v>
      </c>
      <c r="V46" s="13">
        <f>TRANSICAO!$V$46*CUSTOS!$T$3</f>
        <v>0</v>
      </c>
      <c r="W46" s="13">
        <f>TRANSICAO!$W$46*CUSTOS!$T$3</f>
        <v>0</v>
      </c>
      <c r="X46" s="13">
        <f>TRANSICAO!$X$46*CUSTOS!$T$3</f>
        <v>0</v>
      </c>
      <c r="Y46" s="13">
        <f>TRANSICAO!$Y$46*CUSTOS!$T$3</f>
        <v>226.25280000000001</v>
      </c>
      <c r="Z46" s="13">
        <f>TRANSICAO!$Z$46*CUSTOS!$T$3</f>
        <v>0</v>
      </c>
      <c r="AA46" s="13">
        <f>TRANSICAO!$AA$46*CUSTOS!$T$3</f>
        <v>0</v>
      </c>
      <c r="AB46" s="13">
        <f>TRANSICAO!$AB$46*CUSTOS!$T$3</f>
        <v>0</v>
      </c>
      <c r="AC46" s="13">
        <f>TRANSICAO!$AC$46*CUSTOS!$T$3</f>
        <v>1031.2064</v>
      </c>
      <c r="AD46" s="13">
        <f>TRANSICAO!$AD$46*CUSTOS!$T$3</f>
        <v>0</v>
      </c>
      <c r="AE46" s="13">
        <v>0</v>
      </c>
      <c r="AF46" s="13">
        <v>0</v>
      </c>
      <c r="AG46" s="13"/>
      <c r="AH46" s="13">
        <f>(1 - CUSTOS!$M$31)*30.1982</f>
        <v>30.1982</v>
      </c>
      <c r="AI46" s="13">
        <v>0</v>
      </c>
      <c r="AJ46" s="13">
        <f ca="1">$N$64*(1-CUSTOS!$M$31)</f>
        <v>0</v>
      </c>
      <c r="AK46" s="13">
        <f t="shared" ca="1" si="0"/>
        <v>0</v>
      </c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>
        <f>1*(1 - CUSTOS!$M$31)</f>
        <v>1</v>
      </c>
      <c r="M4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2.6977429332698808</v>
      </c>
      <c r="N47" s="13">
        <f ca="1">(+M47+O47+R47+U47+V47+W47+X47+Y47+Z47+AA47+AC47+AH47+AI47+AJ47+AK47)*CUSTOS!$M$5</f>
        <v>4.5406534293326989E-12</v>
      </c>
      <c r="O47" s="13">
        <f>1 - CUSTOS!$M$31</f>
        <v>1</v>
      </c>
      <c r="P47" s="13">
        <f>1 - CUSTOS!$M$31</f>
        <v>1</v>
      </c>
      <c r="Q47" s="13">
        <f>1*(1 - CUSTOS!$M$31)</f>
        <v>1</v>
      </c>
      <c r="R47" s="13">
        <f>1 - CUSTOS!$M$31</f>
        <v>1</v>
      </c>
      <c r="S47" s="13">
        <f>1 - CUSTOS!$M$31</f>
        <v>1</v>
      </c>
      <c r="T47" s="13"/>
      <c r="U47" s="13">
        <f>TRANSICAO!$U$47*CUSTOS!$T$3</f>
        <v>0</v>
      </c>
      <c r="V47" s="13">
        <f>TRANSICAO!$V$47*CUSTOS!$T$3</f>
        <v>0</v>
      </c>
      <c r="W47" s="13">
        <f>TRANSICAO!$W$47*CUSTOS!$T$3</f>
        <v>0</v>
      </c>
      <c r="X47" s="13">
        <f>TRANSICAO!$X$47*CUSTOS!$T$3</f>
        <v>0</v>
      </c>
      <c r="Y47" s="13">
        <f>TRANSICAO!$Y$47*CUSTOS!$T$3</f>
        <v>75.433999999999997</v>
      </c>
      <c r="Z47" s="13">
        <f>TRANSICAO!$Z$47*CUSTOS!$T$3</f>
        <v>0</v>
      </c>
      <c r="AA47" s="13">
        <f>TRANSICAO!$AA$47*CUSTOS!$T$3</f>
        <v>0</v>
      </c>
      <c r="AB47" s="13">
        <f>TRANSICAO!$AB$47*CUSTOS!$T$3</f>
        <v>0</v>
      </c>
      <c r="AC47" s="13">
        <f>TRANSICAO!$AC$47*CUSTOS!$T$3</f>
        <v>343.73540000000003</v>
      </c>
      <c r="AD47" s="13">
        <f>TRANSICAO!$AD$47*CUSTOS!$T$3</f>
        <v>0</v>
      </c>
      <c r="AE47" s="13">
        <v>0</v>
      </c>
      <c r="AF47" s="13">
        <v>0</v>
      </c>
      <c r="AG47" s="13"/>
      <c r="AH47" s="13">
        <f>(1 - CUSTOS!$M$31)*30.1982</f>
        <v>30.1982</v>
      </c>
      <c r="AI47" s="13">
        <v>0</v>
      </c>
      <c r="AJ47" s="13">
        <f ca="1">$N$64*(1-CUSTOS!$M$31)</f>
        <v>0</v>
      </c>
      <c r="AK47" s="13">
        <f t="shared" ca="1" si="0"/>
        <v>0</v>
      </c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>
        <f>1*(1 - CUSTOS!$M$31)</f>
        <v>1</v>
      </c>
      <c r="M4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2.6977429332698808</v>
      </c>
      <c r="N48" s="13">
        <f ca="1">(+M48+O48+R48+U48+V48+W48+X48+Y48+Z48+AA48+AC48+AH48+AI48+AJ48+AK48)*CUSTOS!$M$5</f>
        <v>6.4240574293326995E-12</v>
      </c>
      <c r="O48" s="13">
        <f>1 - CUSTOS!$M$31</f>
        <v>1</v>
      </c>
      <c r="P48" s="13">
        <f>1 - CUSTOS!$M$31</f>
        <v>1</v>
      </c>
      <c r="Q48" s="13">
        <f>1*(1 - CUSTOS!$M$31)</f>
        <v>1</v>
      </c>
      <c r="R48" s="13">
        <f>1 - CUSTOS!$M$31</f>
        <v>1</v>
      </c>
      <c r="S48" s="13">
        <f>1 - CUSTOS!$M$31</f>
        <v>1</v>
      </c>
      <c r="T48" s="13"/>
      <c r="U48" s="13">
        <f>TRANSICAO!$U$48*CUSTOS!$T$3</f>
        <v>0</v>
      </c>
      <c r="V48" s="13">
        <f>TRANSICAO!$V$48*CUSTOS!$T$3</f>
        <v>0</v>
      </c>
      <c r="W48" s="13">
        <f>TRANSICAO!$W$48*CUSTOS!$T$3</f>
        <v>0</v>
      </c>
      <c r="X48" s="13">
        <f>TRANSICAO!$X$48*CUSTOS!$T$3</f>
        <v>0</v>
      </c>
      <c r="Y48" s="13">
        <f>TRANSICAO!$Y$48*CUSTOS!$T$3</f>
        <v>109.3425</v>
      </c>
      <c r="Z48" s="13">
        <f>TRANSICAO!$Z$48*CUSTOS!$T$3</f>
        <v>0</v>
      </c>
      <c r="AA48" s="13">
        <f>TRANSICAO!$AA$48*CUSTOS!$T$3</f>
        <v>0</v>
      </c>
      <c r="AB48" s="13">
        <f>TRANSICAO!$AB$48*CUSTOS!$T$3</f>
        <v>0</v>
      </c>
      <c r="AC48" s="13">
        <f>TRANSICAO!$AC$48*CUSTOS!$T$3</f>
        <v>498.16730000000001</v>
      </c>
      <c r="AD48" s="13">
        <f>TRANSICAO!$AD$48*CUSTOS!$T$3</f>
        <v>0</v>
      </c>
      <c r="AE48" s="13">
        <v>0</v>
      </c>
      <c r="AF48" s="13">
        <v>0</v>
      </c>
      <c r="AG48" s="13"/>
      <c r="AH48" s="13">
        <f>(1 - CUSTOS!$M$31)*30.1982</f>
        <v>30.1982</v>
      </c>
      <c r="AI48" s="13">
        <v>0</v>
      </c>
      <c r="AJ48" s="13">
        <f ca="1">$N$64*(1-CUSTOS!$M$31)</f>
        <v>0</v>
      </c>
      <c r="AK48" s="13">
        <f t="shared" ca="1" si="0"/>
        <v>0</v>
      </c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>
        <f>1*(1 - CUSTOS!$M$31)</f>
        <v>1</v>
      </c>
      <c r="M4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2.6977429332698808</v>
      </c>
      <c r="N49" s="13">
        <f ca="1">(+M49+O49+R49+U49+V49+W49+X49+Y49+Z49+AA49+AC49+AH49+AI49+AJ49+AK49)*CUSTOS!$M$5</f>
        <v>6.4240574293326995E-12</v>
      </c>
      <c r="O49" s="13">
        <f>1 - CUSTOS!$M$31</f>
        <v>1</v>
      </c>
      <c r="P49" s="13">
        <f>1 - CUSTOS!$M$31</f>
        <v>1</v>
      </c>
      <c r="Q49" s="13">
        <f>1*(1 - CUSTOS!$M$31)</f>
        <v>1</v>
      </c>
      <c r="R49" s="13">
        <f>1 - CUSTOS!$M$31</f>
        <v>1</v>
      </c>
      <c r="S49" s="13">
        <f>1 - CUSTOS!$M$31</f>
        <v>1</v>
      </c>
      <c r="T49" s="13"/>
      <c r="U49" s="13">
        <f>TRANSICAO!$U$49*CUSTOS!$T$3</f>
        <v>0</v>
      </c>
      <c r="V49" s="13">
        <f>TRANSICAO!$V$49*CUSTOS!$T$3</f>
        <v>0</v>
      </c>
      <c r="W49" s="13">
        <f>TRANSICAO!$W$49*CUSTOS!$T$3</f>
        <v>0</v>
      </c>
      <c r="X49" s="13">
        <f>TRANSICAO!$X$49*CUSTOS!$T$3</f>
        <v>0</v>
      </c>
      <c r="Y49" s="13">
        <f>TRANSICAO!$Y$49*CUSTOS!$T$3</f>
        <v>109.3425</v>
      </c>
      <c r="Z49" s="13">
        <f>TRANSICAO!$Z$49*CUSTOS!$T$3</f>
        <v>0</v>
      </c>
      <c r="AA49" s="13">
        <f>TRANSICAO!$AA$49*CUSTOS!$T$3</f>
        <v>0</v>
      </c>
      <c r="AB49" s="13">
        <f>TRANSICAO!$AB$49*CUSTOS!$T$3</f>
        <v>0</v>
      </c>
      <c r="AC49" s="13">
        <f>TRANSICAO!$AC$49*CUSTOS!$T$3</f>
        <v>498.16730000000001</v>
      </c>
      <c r="AD49" s="13">
        <f>TRANSICAO!$AD$49*CUSTOS!$T$3</f>
        <v>0</v>
      </c>
      <c r="AE49" s="13">
        <v>0</v>
      </c>
      <c r="AF49" s="13">
        <v>0</v>
      </c>
      <c r="AG49" s="13"/>
      <c r="AH49" s="13">
        <f>(1 - CUSTOS!$M$31)*30.1982</f>
        <v>30.1982</v>
      </c>
      <c r="AI49" s="13">
        <v>0</v>
      </c>
      <c r="AJ49" s="13">
        <f ca="1">$N$64*(1-CUSTOS!$M$31)</f>
        <v>0</v>
      </c>
      <c r="AK49" s="13">
        <f t="shared" ca="1" si="0"/>
        <v>0</v>
      </c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>
        <f>1*(1 - CUSTOS!$M$32)</f>
        <v>0.55000000000000004</v>
      </c>
      <c r="M5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1.4837586132984346</v>
      </c>
      <c r="N50" s="13">
        <f ca="1">(+M50+O50+R50+U50+V50+W50+X50+Y50+Z50+AA50+AC50+AH50+AI50+AJ50+AK50)*CUSTOS!$M$5</f>
        <v>3.5332315861329847E-12</v>
      </c>
      <c r="O50" s="13">
        <f>1 - CUSTOS!$M$32</f>
        <v>0.55000000000000004</v>
      </c>
      <c r="P50" s="13">
        <f>1 - CUSTOS!$M$32</f>
        <v>0.55000000000000004</v>
      </c>
      <c r="Q50" s="13">
        <f>1*(1 - CUSTOS!$M$32)</f>
        <v>0.55000000000000004</v>
      </c>
      <c r="R50" s="13">
        <f>1 - CUSTOS!$M$32</f>
        <v>0.55000000000000004</v>
      </c>
      <c r="S50" s="13">
        <f>1 - CUSTOS!$M$32</f>
        <v>0.55000000000000004</v>
      </c>
      <c r="T50" s="13"/>
      <c r="U50" s="13">
        <f>TRANSICAO!$U$50*CUSTOS!$T$3</f>
        <v>0</v>
      </c>
      <c r="V50" s="13">
        <f>TRANSICAO!$V$50*CUSTOS!$T$3</f>
        <v>0</v>
      </c>
      <c r="W50" s="13">
        <f>TRANSICAO!$W$50*CUSTOS!$T$3</f>
        <v>0</v>
      </c>
      <c r="X50" s="13">
        <f>TRANSICAO!$X$50*CUSTOS!$T$3</f>
        <v>0</v>
      </c>
      <c r="Y50" s="13">
        <f>TRANSICAO!$Y$50*CUSTOS!$T$3</f>
        <v>60.138375000000003</v>
      </c>
      <c r="Z50" s="13">
        <f>TRANSICAO!$Z$50*CUSTOS!$T$3</f>
        <v>0</v>
      </c>
      <c r="AA50" s="13">
        <f>TRANSICAO!$AA$50*CUSTOS!$T$3</f>
        <v>0</v>
      </c>
      <c r="AB50" s="13">
        <f>TRANSICAO!$AB$50*CUSTOS!$T$3</f>
        <v>0</v>
      </c>
      <c r="AC50" s="13">
        <f>TRANSICAO!$AC$50*CUSTOS!$T$3</f>
        <v>273.99201500000004</v>
      </c>
      <c r="AD50" s="13">
        <f>TRANSICAO!$AD$50*CUSTOS!$T$3</f>
        <v>0</v>
      </c>
      <c r="AE50" s="13">
        <v>0</v>
      </c>
      <c r="AF50" s="13">
        <v>0</v>
      </c>
      <c r="AG50" s="13"/>
      <c r="AH50" s="13">
        <f>(1 - CUSTOS!$M$32)*30.1982</f>
        <v>16.609010000000001</v>
      </c>
      <c r="AI50" s="13">
        <v>0</v>
      </c>
      <c r="AJ50" s="13">
        <f ca="1">$N$64*(1-CUSTOS!$M$32)</f>
        <v>0</v>
      </c>
      <c r="AK50" s="13">
        <f t="shared" ca="1" si="0"/>
        <v>0</v>
      </c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>
        <f>1*(1 - CUSTOS!$M$33)</f>
        <v>0.6</v>
      </c>
      <c r="M5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1.6186457599619284</v>
      </c>
      <c r="N51" s="13">
        <f ca="1">(+M51+O51+R51+U51+V51+W51+X51+Y51+Z51+AA51+AC51+AH51+AI51+AJ51+AK51)*CUSTOS!$M$5</f>
        <v>3.8544344575996192E-12</v>
      </c>
      <c r="O51" s="13">
        <f>1 - CUSTOS!$M$33</f>
        <v>0.6</v>
      </c>
      <c r="P51" s="13">
        <f>1 - CUSTOS!$M$33</f>
        <v>0.6</v>
      </c>
      <c r="Q51" s="13">
        <f>1*(1 - CUSTOS!$M$33)</f>
        <v>0.6</v>
      </c>
      <c r="R51" s="13">
        <f>1 - CUSTOS!$M$33</f>
        <v>0.6</v>
      </c>
      <c r="S51" s="13">
        <f>1 - CUSTOS!$M$33</f>
        <v>0.6</v>
      </c>
      <c r="T51" s="13"/>
      <c r="U51" s="13">
        <f>TRANSICAO!$U$51*CUSTOS!$T$3</f>
        <v>0</v>
      </c>
      <c r="V51" s="13">
        <f>TRANSICAO!$V$51*CUSTOS!$T$3</f>
        <v>0</v>
      </c>
      <c r="W51" s="13">
        <f>TRANSICAO!$W$51*CUSTOS!$T$3</f>
        <v>0</v>
      </c>
      <c r="X51" s="13">
        <f>TRANSICAO!$X$51*CUSTOS!$T$3</f>
        <v>0</v>
      </c>
      <c r="Y51" s="13">
        <f>TRANSICAO!$Y$51*CUSTOS!$T$3</f>
        <v>65.605499999999992</v>
      </c>
      <c r="Z51" s="13">
        <f>TRANSICAO!$Z$51*CUSTOS!$T$3</f>
        <v>0</v>
      </c>
      <c r="AA51" s="13">
        <f>TRANSICAO!$AA$51*CUSTOS!$T$3</f>
        <v>0</v>
      </c>
      <c r="AB51" s="13">
        <f>TRANSICAO!$AB$51*CUSTOS!$T$3</f>
        <v>0</v>
      </c>
      <c r="AC51" s="13">
        <f>TRANSICAO!$AC$51*CUSTOS!$T$3</f>
        <v>298.90037999999998</v>
      </c>
      <c r="AD51" s="13">
        <f>TRANSICAO!$AD$51*CUSTOS!$T$3</f>
        <v>0</v>
      </c>
      <c r="AE51" s="13">
        <v>0</v>
      </c>
      <c r="AF51" s="13">
        <v>0</v>
      </c>
      <c r="AG51" s="13"/>
      <c r="AH51" s="13">
        <f>(1 - CUSTOS!$M$33)*30.1982</f>
        <v>18.118919999999999</v>
      </c>
      <c r="AI51" s="13">
        <v>0</v>
      </c>
      <c r="AJ51" s="13">
        <f ca="1">$N$64*(1-CUSTOS!$M$33)</f>
        <v>0</v>
      </c>
      <c r="AK51" s="13">
        <f t="shared" ca="1" si="0"/>
        <v>0</v>
      </c>
      <c r="AL51" s="13"/>
      <c r="AM51" s="13"/>
      <c r="AP51" s="13">
        <f>IF((1 - CUSTOS!$M$33)&lt;&gt;0,1/(1 - CUSTOS!$M$33),1)</f>
        <v>1.6666666666666667</v>
      </c>
    </row>
    <row r="53" spans="1:42" ht="11.25" customHeight="1" x14ac:dyDescent="0.25">
      <c r="K53" s="16" t="s">
        <v>503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42" ht="11.25" customHeight="1" x14ac:dyDescent="0.25">
      <c r="K54" s="16" t="s">
        <v>504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2" ht="11.25" customHeight="1" x14ac:dyDescent="0.25">
      <c r="K55" s="16" t="s">
        <v>505</v>
      </c>
      <c r="L55" s="13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15334.40835</v>
      </c>
      <c r="M55" s="13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41428.584885325297</v>
      </c>
      <c r="N55" s="13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9.6723292935160279E-8</v>
      </c>
      <c r="O55" s="13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16155.991550000001</v>
      </c>
      <c r="P55" s="13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15543.23955</v>
      </c>
      <c r="Q55" s="13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15334.40835</v>
      </c>
      <c r="R55" s="13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15543.23955</v>
      </c>
      <c r="S55" s="13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16155.991550000001</v>
      </c>
      <c r="T55" s="13"/>
      <c r="U55" s="13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3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3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3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3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1746111.6768852752</v>
      </c>
      <c r="Z55" s="13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3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3"/>
      <c r="AC55" s="13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7650089.9363075113</v>
      </c>
      <c r="AD55" s="13"/>
      <c r="AE55" s="13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3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3"/>
      <c r="AH55" s="13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455243.37473821006</v>
      </c>
      <c r="AI55" s="13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0</v>
      </c>
      <c r="AJ55" s="13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0</v>
      </c>
      <c r="AK55" s="13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0</v>
      </c>
      <c r="AL55" s="13"/>
      <c r="AM55" s="13"/>
    </row>
    <row r="56" spans="1:42" ht="11.25" customHeight="1" x14ac:dyDescent="0.25">
      <c r="K56" s="16" t="s">
        <v>441</v>
      </c>
      <c r="L56" s="13">
        <f>CUSTOS!$D$2</f>
        <v>0</v>
      </c>
      <c r="M56" s="13">
        <f>CUSTOS!$D$3</f>
        <v>42024.992316025076</v>
      </c>
      <c r="N56" s="13">
        <f>CUSTOS!$D$4</f>
        <v>0</v>
      </c>
      <c r="O56" s="13">
        <f>CUSTOS!$D$5</f>
        <v>0</v>
      </c>
      <c r="P56" s="13">
        <f>CUSTOS!$D$6</f>
        <v>0</v>
      </c>
      <c r="Q56" s="13">
        <f>CUSTOS!$D$7</f>
        <v>1389890.3980500002</v>
      </c>
      <c r="R56" s="13">
        <f>CUSTOS!$D$8</f>
        <v>222749.78508000006</v>
      </c>
      <c r="S56" s="13">
        <f>CUSTOS!$D$9</f>
        <v>0</v>
      </c>
      <c r="T56" s="13">
        <f>CUSTOS!$D$10</f>
        <v>1654665.1754460253</v>
      </c>
      <c r="U56" s="13">
        <f>CUSTOS!$D$11</f>
        <v>0</v>
      </c>
      <c r="V56" s="13">
        <f>IF(SUM(V53:V55)&lt;&gt;0,CUSTOS!$D$12+CUSTOS!$D$16+CUSTOS!$D$17-'TR TUSD'!$Z$54-'TR TUSD'!$AA$54,0)</f>
        <v>0</v>
      </c>
      <c r="W56" s="13">
        <f>CUSTOS!$D$13</f>
        <v>0</v>
      </c>
      <c r="X56" s="13">
        <f>CUSTOS!$D$14</f>
        <v>0</v>
      </c>
      <c r="Y56" s="13">
        <f>IF(SUM(V53:V55)=0,CUSTOS!$D$15+CUSTOS!$D$16+CUSTOS!$D$17-'TR TUSD'!$Z$54-'TR TUSD'!$AA$54,CUSTOS!$D$15)</f>
        <v>2300281.9677699995</v>
      </c>
      <c r="Z56" s="13">
        <f>Z54</f>
        <v>0</v>
      </c>
      <c r="AA56" s="13">
        <f>AA54</f>
        <v>0</v>
      </c>
      <c r="AB56" s="13">
        <f>CUSTOS!$D$18</f>
        <v>2300281.9677699995</v>
      </c>
      <c r="AC56" s="13">
        <f>CUSTOS!$D$19</f>
        <v>8886696.2552139182</v>
      </c>
      <c r="AD56" s="13">
        <f>CUSTOS!$D$20</f>
        <v>8886696.2552139182</v>
      </c>
      <c r="AE56" s="13">
        <f>CUSTOS!$D$21</f>
        <v>0</v>
      </c>
      <c r="AF56" s="13">
        <f>CUSTOS!$D$22</f>
        <v>0</v>
      </c>
      <c r="AG56" s="13">
        <f>CUSTOS!$D$23</f>
        <v>0</v>
      </c>
      <c r="AH56" s="13">
        <f>CUSTOS!$D$24</f>
        <v>369924.82991963299</v>
      </c>
      <c r="AI56" s="13">
        <f>CUSTOS!$D$25</f>
        <v>0</v>
      </c>
      <c r="AJ56" s="13">
        <f>CUSTOS!$D$26</f>
        <v>0</v>
      </c>
      <c r="AK56" s="13">
        <f>CUSTOS!$D$27</f>
        <v>0</v>
      </c>
      <c r="AL56" s="13">
        <f>CUSTOS!$D$28</f>
        <v>369924.82991963299</v>
      </c>
      <c r="AM56" s="13">
        <f>CUSTOS!$D$29</f>
        <v>13211568.228349576</v>
      </c>
    </row>
    <row r="57" spans="1:42" ht="11.25" customHeight="1" x14ac:dyDescent="0.25">
      <c r="K57" s="16" t="s">
        <v>442</v>
      </c>
      <c r="L57" s="13">
        <f>CUSTOS!$E$2</f>
        <v>0</v>
      </c>
      <c r="M57" s="13">
        <f>CUSTOS!$E$3</f>
        <v>1320.0697366684942</v>
      </c>
      <c r="N57" s="13">
        <f>CUSTOS!$E$4</f>
        <v>0</v>
      </c>
      <c r="O57" s="13">
        <f>CUSTOS!$E$5</f>
        <v>0</v>
      </c>
      <c r="P57" s="13">
        <f>CUSTOS!$E$6</f>
        <v>0</v>
      </c>
      <c r="Q57" s="13">
        <f>CUSTOS!$E$7</f>
        <v>43111.948945576783</v>
      </c>
      <c r="R57" s="13">
        <f>CUSTOS!$E$8</f>
        <v>6031.9928132301266</v>
      </c>
      <c r="S57" s="13">
        <f>CUSTOS!$E$9</f>
        <v>0</v>
      </c>
      <c r="T57" s="13">
        <f>CUSTOS!$E$10</f>
        <v>50464.011495475403</v>
      </c>
      <c r="U57" s="13">
        <f>CUSTOS!$E$11</f>
        <v>0</v>
      </c>
      <c r="V57" s="13">
        <f>CUSTOS!$E$12</f>
        <v>0</v>
      </c>
      <c r="W57" s="13">
        <f>CUSTOS!$E$13</f>
        <v>0</v>
      </c>
      <c r="X57" s="13">
        <f>CUSTOS!$E$14</f>
        <v>0</v>
      </c>
      <c r="Y57" s="13">
        <f>CUSTOS!$E$15</f>
        <v>-72221.181788456161</v>
      </c>
      <c r="Z57" s="13">
        <f>CUSTOS!$E$16</f>
        <v>0</v>
      </c>
      <c r="AA57" s="13">
        <f>CUSTOS!$E$17</f>
        <v>0</v>
      </c>
      <c r="AB57" s="13">
        <f>CUSTOS!$E$18</f>
        <v>-72221.181788456161</v>
      </c>
      <c r="AC57" s="13">
        <f>CUSTOS!$E$19</f>
        <v>-2630709.1586146285</v>
      </c>
      <c r="AD57" s="13">
        <f>CUSTOS!$E$20</f>
        <v>-2630709.1586146285</v>
      </c>
      <c r="AE57" s="13">
        <f>CUSTOS!$E$21</f>
        <v>-188889.07681808999</v>
      </c>
      <c r="AF57" s="13">
        <f>CUSTOS!$E$22</f>
        <v>0</v>
      </c>
      <c r="AG57" s="13">
        <f>CUSTOS!$E$23</f>
        <v>-188889.07681808999</v>
      </c>
      <c r="AH57" s="13">
        <f>CUSTOS!$E$24</f>
        <v>-1946.4421251605609</v>
      </c>
      <c r="AI57" s="13">
        <f>CUSTOS!$E$25</f>
        <v>0</v>
      </c>
      <c r="AJ57" s="13">
        <f>CUSTOS!$E$26</f>
        <v>0</v>
      </c>
      <c r="AK57" s="13">
        <f>CUSTOS!$E$27</f>
        <v>0</v>
      </c>
      <c r="AL57" s="13">
        <f>CUSTOS!$E$28</f>
        <v>-1946.4421251605609</v>
      </c>
      <c r="AM57" s="13">
        <f>CUSTOS!$E$29</f>
        <v>-2843301.8478508601</v>
      </c>
    </row>
    <row r="58" spans="1:42" ht="11.25" customHeight="1" x14ac:dyDescent="0.25">
      <c r="K58" s="16" t="s">
        <v>443</v>
      </c>
      <c r="L58" s="13">
        <f>CUSTOS!$F$2</f>
        <v>0</v>
      </c>
      <c r="M58" s="13">
        <f>CUSTOS!$F$3</f>
        <v>0</v>
      </c>
      <c r="N58" s="13">
        <f>CUSTOS!$F$4</f>
        <v>0</v>
      </c>
      <c r="O58" s="13">
        <f>CUSTOS!$F$5</f>
        <v>0</v>
      </c>
      <c r="P58" s="13">
        <f>CUSTOS!$F$6</f>
        <v>0</v>
      </c>
      <c r="Q58" s="13">
        <f>CUSTOS!$F$7</f>
        <v>0</v>
      </c>
      <c r="R58" s="13">
        <f>CUSTOS!$F$8</f>
        <v>0</v>
      </c>
      <c r="S58" s="13">
        <f>CUSTOS!$F$9</f>
        <v>0</v>
      </c>
      <c r="T58" s="13">
        <f>CUSTOS!$F$10</f>
        <v>0</v>
      </c>
      <c r="U58" s="13">
        <f>CUSTOS!$F$11</f>
        <v>0</v>
      </c>
      <c r="V58" s="13">
        <f>CUSTOS!$F$12</f>
        <v>0</v>
      </c>
      <c r="W58" s="13">
        <f>CUSTOS!$F$13</f>
        <v>0</v>
      </c>
      <c r="X58" s="13">
        <f>CUSTOS!$F$14</f>
        <v>0</v>
      </c>
      <c r="Y58" s="13">
        <f>CUSTOS!$F$15</f>
        <v>0</v>
      </c>
      <c r="Z58" s="13">
        <f>CUSTOS!$F$16</f>
        <v>0</v>
      </c>
      <c r="AA58" s="13">
        <f>CUSTOS!$F$17</f>
        <v>0</v>
      </c>
      <c r="AB58" s="13">
        <f>CUSTOS!$F$18</f>
        <v>0</v>
      </c>
      <c r="AC58" s="13">
        <f>CUSTOS!$F$19</f>
        <v>0</v>
      </c>
      <c r="AD58" s="13">
        <f>CUSTOS!$F$20</f>
        <v>0</v>
      </c>
      <c r="AE58" s="13">
        <f>CUSTOS!$F$21</f>
        <v>0</v>
      </c>
      <c r="AF58" s="13">
        <f>CUSTOS!$F$22</f>
        <v>0</v>
      </c>
      <c r="AG58" s="13">
        <f>CUSTOS!$F$23</f>
        <v>0</v>
      </c>
      <c r="AH58" s="13">
        <f>CUSTOS!$F$24</f>
        <v>0</v>
      </c>
      <c r="AI58" s="13">
        <f>CUSTOS!$F$25</f>
        <v>0</v>
      </c>
      <c r="AJ58" s="13">
        <f>CUSTOS!$F$26</f>
        <v>0</v>
      </c>
      <c r="AK58" s="13">
        <f>CUSTOS!$F$27</f>
        <v>0</v>
      </c>
      <c r="AL58" s="13">
        <f>CUSTOS!$F$28</f>
        <v>0</v>
      </c>
      <c r="AM58" s="13">
        <f>CUSTOS!$F$29</f>
        <v>0</v>
      </c>
    </row>
    <row r="59" spans="1:42" ht="11.25" customHeight="1" x14ac:dyDescent="0.25">
      <c r="K59" s="16" t="s">
        <v>506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/>
      <c r="AC59" s="13">
        <v>0</v>
      </c>
      <c r="AD59" s="13"/>
      <c r="AE59" s="13">
        <v>0</v>
      </c>
      <c r="AF59" s="13">
        <v>0</v>
      </c>
      <c r="AG59" s="13"/>
      <c r="AH59" s="13">
        <v>0</v>
      </c>
      <c r="AI59" s="13">
        <v>0</v>
      </c>
      <c r="AJ59" s="13">
        <v>0</v>
      </c>
      <c r="AK59" s="13">
        <v>0</v>
      </c>
      <c r="AL59" s="13"/>
      <c r="AM59" s="13"/>
    </row>
    <row r="60" spans="1:42" ht="11.25" customHeight="1" x14ac:dyDescent="0.25">
      <c r="K60" s="16" t="s">
        <v>507</v>
      </c>
      <c r="L60" s="13">
        <f t="shared" ref="L60:S60" si="1">IF((L55+L53)&lt;&gt;0,(L56-L54-L59)/(L55+L53),0)</f>
        <v>0</v>
      </c>
      <c r="M60" s="13">
        <f t="shared" si="1"/>
        <v>1.0143960367545897</v>
      </c>
      <c r="N60" s="13">
        <f t="shared" ca="1" si="1"/>
        <v>0</v>
      </c>
      <c r="O60" s="13">
        <f t="shared" si="1"/>
        <v>0</v>
      </c>
      <c r="P60" s="13">
        <f t="shared" si="1"/>
        <v>0</v>
      </c>
      <c r="Q60" s="13">
        <f t="shared" si="1"/>
        <v>90.638671302241676</v>
      </c>
      <c r="R60" s="13">
        <f t="shared" si="1"/>
        <v>14.330975493458187</v>
      </c>
      <c r="S60" s="13">
        <f t="shared" si="1"/>
        <v>0</v>
      </c>
      <c r="T60" s="13"/>
      <c r="U60" s="13">
        <f>IF(U55&lt;&gt;0,(U56-U54-U53-U59)/U55,0)</f>
        <v>0</v>
      </c>
      <c r="V60" s="13">
        <f>IF(V55&lt;&gt;0,(V56-V54-V53-V59)/V55,0)</f>
        <v>0</v>
      </c>
      <c r="W60" s="13">
        <f>IF(W55&lt;&gt;0,(W56-W54-W53-W59)/W55,0)</f>
        <v>0</v>
      </c>
      <c r="X60" s="13">
        <f>IF(X55&lt;&gt;0,(X56-X54-X53-X59)/X55,0)</f>
        <v>0</v>
      </c>
      <c r="Y60" s="13">
        <f>IF(Y55&lt;&gt;0,(Y56-Y54-Y53-Y59)/Y55,0)</f>
        <v>1.3173739103980204</v>
      </c>
      <c r="Z60" s="13"/>
      <c r="AA60" s="13"/>
      <c r="AB60" s="13"/>
      <c r="AC60" s="13">
        <f>IF(AC55&lt;&gt;0,(AC56-AC54-AC53-AC59)/AC55,0)</f>
        <v>1.1616459844527374</v>
      </c>
      <c r="AD60" s="13"/>
      <c r="AE60" s="13">
        <f>IF((AE55+AE53)&lt;&gt;0,(AE56-AE54-AE59)/(AE55+AE53),0)</f>
        <v>0</v>
      </c>
      <c r="AF60" s="13">
        <f>IF((AF55+AF53)&lt;&gt;0,(AF56-AF54-AF59)/(AF55+AF53),0)</f>
        <v>0</v>
      </c>
      <c r="AG60" s="13"/>
      <c r="AH60" s="13">
        <f>IF(AH55&lt;&gt;0,(AH56-AH54-AH53-AH59)/AH55,0)</f>
        <v>0.81258695995819841</v>
      </c>
      <c r="AI60" s="13">
        <f>IF(AI55&lt;&gt;0,(AI56-AI54-AI53-AI59)/AI55,0)</f>
        <v>0</v>
      </c>
      <c r="AJ60" s="13">
        <f ca="1">IF((AJ55+AJ53)&lt;&gt;0,(AJ56-AJ54-AJ59)/(AJ55+AJ53),0)</f>
        <v>0</v>
      </c>
      <c r="AK60" s="13">
        <f ca="1">IF((AK55+AK53)&lt;&gt;0,(AK56-AK54-AK59)/(AK55+AK53),0)</f>
        <v>0</v>
      </c>
      <c r="AL60" s="13"/>
      <c r="AM60" s="13"/>
    </row>
    <row r="62" spans="1:42" ht="11.25" customHeight="1" x14ac:dyDescent="0.25">
      <c r="K62" s="25" t="s">
        <v>511</v>
      </c>
      <c r="L62" s="25" t="s">
        <v>512</v>
      </c>
      <c r="M62" s="25" t="s">
        <v>513</v>
      </c>
      <c r="N62" s="25" t="s">
        <v>514</v>
      </c>
      <c r="O62" s="25" t="s">
        <v>515</v>
      </c>
      <c r="P62" s="25" t="s">
        <v>516</v>
      </c>
    </row>
    <row r="63" spans="1:42" ht="11.25" customHeight="1" x14ac:dyDescent="0.25">
      <c r="K63" s="24" t="s">
        <v>39</v>
      </c>
      <c r="L63" s="24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578899.93268963962</v>
      </c>
      <c r="M63" s="24">
        <f>+'TUSD BE'!$I$7+'TUSD BE'!$I$8+'TUSD BE'!$I$11+'TUSD BE'!$I$12+'TUSD BE'!$I$13+'TUSD BE'!$I$14</f>
        <v>1305.1950000000002</v>
      </c>
      <c r="N63" s="24">
        <f ca="1">IF(AND($L$70&lt;&gt;0,M63&lt;&gt;0),(L63/$L$70*$AJ$56)/M63,0)</f>
        <v>0</v>
      </c>
      <c r="O63" s="24"/>
      <c r="P63" s="24"/>
    </row>
    <row r="64" spans="1:42" ht="11.25" customHeight="1" x14ac:dyDescent="0.25">
      <c r="K64" s="24" t="s">
        <v>77</v>
      </c>
      <c r="L64" s="24">
        <f ca="1">+$L$65+$L$66+$L$67+$L$68+$L$69</f>
        <v>12632668.295659592</v>
      </c>
      <c r="M64" s="24">
        <f>+$M$65+$M$66+$M$67+$M$68+$M$69</f>
        <v>15071.873000000001</v>
      </c>
      <c r="N64" s="24">
        <f ca="1">IF(AND($L$70&lt;&gt;0,M64&lt;&gt;0),(L64/$L$70*$AJ$56)/M64,0)</f>
        <v>0</v>
      </c>
      <c r="O64" s="24"/>
      <c r="P64" s="24"/>
    </row>
    <row r="65" spans="11:16" ht="11.25" customHeight="1" x14ac:dyDescent="0.25">
      <c r="K65" s="24" t="s">
        <v>77</v>
      </c>
      <c r="L65" s="24"/>
      <c r="M65" s="24"/>
      <c r="N65" s="24">
        <f ca="1">IF(AND($L$70&lt;&gt;0,M65&lt;&gt;0),(L65/$L$70*$AJ$56)/M65,0)</f>
        <v>0</v>
      </c>
      <c r="O65" s="24"/>
      <c r="P65" s="24"/>
    </row>
    <row r="66" spans="11:16" ht="11.25" customHeight="1" x14ac:dyDescent="0.25">
      <c r="K66" s="24" t="s">
        <v>22</v>
      </c>
      <c r="L66" s="24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10572944.944465412</v>
      </c>
      <c r="M66" s="24">
        <f>+'TUSD BE'!$I$17+'TUSD BE'!$I$18+'TUSD BE'!$I$19+'TUSD BE'!$I$20+'TUSD BE'!$I$21+'TUSD BE'!$I$22+'TUSD BE'!$I$23+'TUSD BE'!$I$24+'TUSD BE'!$I$25+'TUSD BE'!$I$26+'TUSD BE'!$I$27+'TUSD BE'!$I$28+'TUSD BE'!$I$29</f>
        <v>12441.718000000001</v>
      </c>
      <c r="N66" s="24"/>
      <c r="O66" s="24"/>
      <c r="P66" s="24"/>
    </row>
    <row r="67" spans="11:16" ht="11.25" customHeight="1" x14ac:dyDescent="0.25">
      <c r="K67" s="24" t="s">
        <v>41</v>
      </c>
      <c r="L67" s="24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576878.15053234482</v>
      </c>
      <c r="M67" s="24">
        <f>+'TUSD BE'!$I$30+'TUSD BE'!$I$31+'TUSD BE'!$I$32+'TUSD BE'!$I$33+'TUSD BE'!$I$34+'TUSD BE'!$I$35+'TUSD BE'!$I$36+'TUSD BE'!$I$37+'TUSD BE'!$I$38+'TUSD BE'!$I$39+'TUSD BE'!$I$40+'TUSD BE'!$I$41+'TUSD BE'!$I$42+'TUSD BE'!$I$43+'TUSD BE'!$I$44</f>
        <v>674.72400000000005</v>
      </c>
      <c r="N67" s="24"/>
      <c r="O67" s="24"/>
      <c r="P67" s="24"/>
    </row>
    <row r="68" spans="11:16" ht="11.25" customHeight="1" x14ac:dyDescent="0.25">
      <c r="K68" s="24" t="s">
        <v>37</v>
      </c>
      <c r="L68" s="24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1251824.6632725867</v>
      </c>
      <c r="M68" s="24">
        <f>+'TUSD BE'!$I$45+'TUSD BE'!$I$46+'TUSD BE'!$I$47+'TUSD BE'!$I$48+'TUSD BE'!$I$49</f>
        <v>1464.15</v>
      </c>
      <c r="N68" s="24"/>
      <c r="O68" s="24"/>
      <c r="P68" s="24"/>
    </row>
    <row r="69" spans="11:16" ht="11.25" customHeight="1" x14ac:dyDescent="0.25">
      <c r="K69" s="24" t="s">
        <v>44</v>
      </c>
      <c r="L69" s="24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231020.5373892503</v>
      </c>
      <c r="M69" s="24">
        <f>+'TUSD BE'!$I$50+'TUSD BE'!$I$51</f>
        <v>491.28100000000001</v>
      </c>
      <c r="N69" s="24"/>
      <c r="O69" s="24"/>
      <c r="P69" s="24"/>
    </row>
    <row r="70" spans="11:16" ht="11.25" customHeight="1" x14ac:dyDescent="0.25">
      <c r="K70" s="24"/>
      <c r="L70" s="24">
        <f ca="1">SUM($L$63:$L$69,-$L$64)</f>
        <v>13211568.228349233</v>
      </c>
      <c r="M70" s="24">
        <f>SUM($M$63:$M$69,-$M$64)</f>
        <v>16377.067999999997</v>
      </c>
      <c r="N70" s="24"/>
      <c r="O70" s="24"/>
      <c r="P70" s="24"/>
    </row>
  </sheetData>
  <mergeCells count="73"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  <mergeCell ref="A1:A4"/>
    <mergeCell ref="B1:B4"/>
    <mergeCell ref="C1:C4"/>
    <mergeCell ref="D1:D4"/>
    <mergeCell ref="E1:E4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F005-1B0D-4762-8547-0FBDC9535A11}">
  <dimension ref="A1:AP58"/>
  <sheetViews>
    <sheetView showGridLines="0" topLeftCell="AB30" workbookViewId="0">
      <selection activeCell="AM53" sqref="AM53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.85546875" style="9" bestFit="1" customWidth="1"/>
    <col min="14" max="15" width="4.140625" style="9" bestFit="1" customWidth="1"/>
    <col min="16" max="16" width="4.42578125" style="9" bestFit="1" customWidth="1"/>
    <col min="17" max="17" width="10" style="9" bestFit="1" customWidth="1"/>
    <col min="18" max="19" width="8.7109375" style="9" bestFit="1" customWidth="1"/>
    <col min="20" max="20" width="10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10" style="9" bestFit="1" customWidth="1"/>
    <col min="26" max="26" width="7.7109375" style="9" bestFit="1" customWidth="1"/>
    <col min="27" max="27" width="9.85546875" style="9" bestFit="1" customWidth="1"/>
    <col min="28" max="28" width="10" style="9" bestFit="1" customWidth="1"/>
    <col min="29" max="29" width="11.7109375" style="9" bestFit="1" customWidth="1"/>
    <col min="30" max="30" width="10.5703125" style="9" bestFit="1" customWidth="1"/>
    <col min="31" max="31" width="9.28515625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8554687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103" t="s">
        <v>56</v>
      </c>
      <c r="B1" s="103" t="s">
        <v>57</v>
      </c>
      <c r="C1" s="103" t="s">
        <v>58</v>
      </c>
      <c r="D1" s="103" t="s">
        <v>59</v>
      </c>
      <c r="E1" s="103" t="s">
        <v>60</v>
      </c>
      <c r="F1" s="103" t="s">
        <v>15</v>
      </c>
      <c r="G1" s="103" t="s">
        <v>62</v>
      </c>
      <c r="H1" s="103" t="s">
        <v>63</v>
      </c>
      <c r="I1" s="103" t="s">
        <v>500</v>
      </c>
      <c r="J1" s="95"/>
      <c r="L1" s="104" t="s">
        <v>508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P1" s="104" t="s">
        <v>502</v>
      </c>
    </row>
    <row r="2" spans="1:42" ht="11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95"/>
      <c r="L2" s="104" t="s">
        <v>399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P2" s="105"/>
    </row>
    <row r="3" spans="1:42" ht="11.2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95"/>
      <c r="L3" s="104" t="s">
        <v>400</v>
      </c>
      <c r="M3" s="104"/>
      <c r="N3" s="104"/>
      <c r="O3" s="104"/>
      <c r="P3" s="104"/>
      <c r="Q3" s="104"/>
      <c r="R3" s="104"/>
      <c r="S3" s="104"/>
      <c r="T3" s="104"/>
      <c r="U3" s="104" t="s">
        <v>409</v>
      </c>
      <c r="V3" s="104"/>
      <c r="W3" s="104"/>
      <c r="X3" s="104"/>
      <c r="Y3" s="104"/>
      <c r="Z3" s="104"/>
      <c r="AA3" s="104"/>
      <c r="AB3" s="104"/>
      <c r="AC3" s="104" t="s">
        <v>417</v>
      </c>
      <c r="AD3" s="104"/>
      <c r="AE3" s="104" t="s">
        <v>419</v>
      </c>
      <c r="AF3" s="104"/>
      <c r="AG3" s="104"/>
      <c r="AH3" s="104" t="s">
        <v>422</v>
      </c>
      <c r="AI3" s="104"/>
      <c r="AJ3" s="104"/>
      <c r="AK3" s="104"/>
      <c r="AL3" s="104"/>
      <c r="AM3" s="104" t="s">
        <v>408</v>
      </c>
      <c r="AP3" s="105"/>
    </row>
    <row r="4" spans="1:42" ht="11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95"/>
      <c r="L4" s="10" t="s">
        <v>485</v>
      </c>
      <c r="M4" s="10" t="s">
        <v>401</v>
      </c>
      <c r="N4" s="10" t="s">
        <v>402</v>
      </c>
      <c r="O4" s="10" t="s">
        <v>403</v>
      </c>
      <c r="P4" s="10" t="s">
        <v>404</v>
      </c>
      <c r="Q4" s="10" t="s">
        <v>405</v>
      </c>
      <c r="R4" s="10" t="s">
        <v>406</v>
      </c>
      <c r="S4" s="10" t="s">
        <v>407</v>
      </c>
      <c r="T4" s="10" t="s">
        <v>408</v>
      </c>
      <c r="U4" s="10" t="s">
        <v>410</v>
      </c>
      <c r="V4" s="10" t="s">
        <v>411</v>
      </c>
      <c r="W4" s="10" t="s">
        <v>412</v>
      </c>
      <c r="X4" s="10" t="s">
        <v>413</v>
      </c>
      <c r="Y4" s="10" t="s">
        <v>414</v>
      </c>
      <c r="Z4" s="10" t="s">
        <v>415</v>
      </c>
      <c r="AA4" s="10" t="s">
        <v>416</v>
      </c>
      <c r="AB4" s="10" t="s">
        <v>408</v>
      </c>
      <c r="AC4" s="10" t="s">
        <v>418</v>
      </c>
      <c r="AD4" s="10" t="s">
        <v>408</v>
      </c>
      <c r="AE4" s="10" t="s">
        <v>420</v>
      </c>
      <c r="AF4" s="10" t="s">
        <v>421</v>
      </c>
      <c r="AG4" s="10" t="s">
        <v>408</v>
      </c>
      <c r="AH4" s="10" t="s">
        <v>423</v>
      </c>
      <c r="AI4" s="10" t="s">
        <v>424</v>
      </c>
      <c r="AJ4" s="10" t="s">
        <v>425</v>
      </c>
      <c r="AK4" s="10" t="s">
        <v>426</v>
      </c>
      <c r="AL4" s="10" t="s">
        <v>408</v>
      </c>
      <c r="AM4" s="106"/>
      <c r="AP4" s="105"/>
    </row>
    <row r="5" spans="1:42" ht="11.25" customHeight="1" x14ac:dyDescent="0.25">
      <c r="A5" s="102" t="s">
        <v>39</v>
      </c>
      <c r="B5" s="102" t="s">
        <v>71</v>
      </c>
      <c r="C5" s="102" t="s">
        <v>25</v>
      </c>
      <c r="D5" s="102" t="s">
        <v>25</v>
      </c>
      <c r="E5" s="102" t="s">
        <v>25</v>
      </c>
      <c r="F5" s="102" t="s">
        <v>25</v>
      </c>
      <c r="G5" s="24" t="s">
        <v>73</v>
      </c>
      <c r="H5" s="24" t="s">
        <v>72</v>
      </c>
      <c r="I5" s="24">
        <f>'MERCADO TUSD'!$U$2</f>
        <v>0</v>
      </c>
      <c r="J5" s="15"/>
      <c r="L5" s="13">
        <f>'TR TUSD'!$L$5*'TR TUSD'!$L$60</f>
        <v>0</v>
      </c>
      <c r="M5" s="13">
        <f>'TR TUSD'!$M$5*'TR TUSD'!$M$60</f>
        <v>0</v>
      </c>
      <c r="N5" s="13">
        <f ca="1">'TR TUSD'!$N$5*'TR TUSD'!$N$60</f>
        <v>0</v>
      </c>
      <c r="O5" s="13">
        <f>'TR TUSD'!$O$5*'TR TUSD'!$O$60</f>
        <v>0</v>
      </c>
      <c r="P5" s="13">
        <f>'TR TUSD'!$P$5*'TR TUSD'!$P$60</f>
        <v>0</v>
      </c>
      <c r="Q5" s="13">
        <f>'TR TUSD'!$Q$5*'TR TUSD'!$Q$60</f>
        <v>0</v>
      </c>
      <c r="R5" s="13">
        <f>'TR TUSD'!$R$5*'TR TUSD'!$R$60</f>
        <v>0</v>
      </c>
      <c r="S5" s="13">
        <f>'TR TUSD'!$S$5*'TR TUSD'!$S$60</f>
        <v>0</v>
      </c>
      <c r="T5" s="13">
        <f ca="1">SUM($L$5:$S$5)</f>
        <v>0</v>
      </c>
      <c r="U5" s="13">
        <f>'TR TUSD'!$U$5*'TR TUSD'!$U$60</f>
        <v>0</v>
      </c>
      <c r="V5" s="13">
        <f>'TR TUSD'!$V$5*'TR TUSD'!$V$60</f>
        <v>0</v>
      </c>
      <c r="W5" s="13">
        <f>'TR TUSD'!$W$5*'TR TUSD'!$W$60</f>
        <v>0</v>
      </c>
      <c r="X5" s="13">
        <f>'TR TUSD'!$X$5*'TR TUSD'!$X$60</f>
        <v>0</v>
      </c>
      <c r="Y5" s="13">
        <f>'TR TUSD'!$Y$5*'TR TUSD'!$Y$60</f>
        <v>34.506106572446392</v>
      </c>
      <c r="Z5" s="13">
        <f>'TR TUSD'!$Z$5</f>
        <v>0</v>
      </c>
      <c r="AA5" s="13">
        <f>'TR TUSD'!$AA$5</f>
        <v>0</v>
      </c>
      <c r="AB5" s="13">
        <f>SUM($U$5:$AA$5)</f>
        <v>34.506106572446392</v>
      </c>
      <c r="AC5" s="13">
        <f>'TR TUSD'!$AC$5*'TR TUSD'!$AC$60</f>
        <v>66.518985513921763</v>
      </c>
      <c r="AD5" s="13">
        <f>SUM($AC$5:$AC$5)</f>
        <v>66.518985513921763</v>
      </c>
      <c r="AE5" s="13">
        <v>0</v>
      </c>
      <c r="AF5" s="13">
        <v>0</v>
      </c>
      <c r="AG5" s="13">
        <f>SUM($AE$5:$AF$5)</f>
        <v>0</v>
      </c>
      <c r="AH5" s="13">
        <f>'TR TUSD'!$AH$5*'TR TUSD'!$AH$60</f>
        <v>0</v>
      </c>
      <c r="AI5" s="13">
        <f>'TR TUSD'!$AI$5*'TR TUSD'!$AI$60</f>
        <v>0</v>
      </c>
      <c r="AJ5" s="13">
        <f ca="1">'TR TUSD'!$AJ$5*'TR TUSD'!$AJ$60</f>
        <v>0</v>
      </c>
      <c r="AK5" s="13">
        <f ca="1">'TR TUSD'!$AK$5*'TR TUSD'!$AK$60</f>
        <v>0</v>
      </c>
      <c r="AL5" s="13">
        <f ca="1">SUM($AH$5:$AK$5)</f>
        <v>0</v>
      </c>
      <c r="AM5" s="13">
        <f ca="1">SUMIF($L$4:$AL$4,"SUBTOTAL",$L$5:$AL$5)</f>
        <v>101.02509208636815</v>
      </c>
      <c r="AP5" s="13">
        <v>1</v>
      </c>
    </row>
    <row r="6" spans="1:42" ht="11.25" customHeight="1" x14ac:dyDescent="0.25">
      <c r="A6" s="102"/>
      <c r="B6" s="102"/>
      <c r="C6" s="102"/>
      <c r="D6" s="102"/>
      <c r="E6" s="102"/>
      <c r="F6" s="102"/>
      <c r="G6" s="24" t="s">
        <v>74</v>
      </c>
      <c r="H6" s="24" t="s">
        <v>72</v>
      </c>
      <c r="I6" s="24">
        <f>'MERCADO TUSD'!$U$3</f>
        <v>0</v>
      </c>
      <c r="J6" s="15"/>
      <c r="L6" s="13">
        <f>'TR TUSD'!$L$6*'TR TUSD'!$L$60</f>
        <v>0</v>
      </c>
      <c r="M6" s="13">
        <f>'TR TUSD'!$M$6*'TR TUSD'!$M$60</f>
        <v>0</v>
      </c>
      <c r="N6" s="13">
        <f ca="1">'TR TUSD'!$N$6*'TR TUSD'!$N$60</f>
        <v>0</v>
      </c>
      <c r="O6" s="13">
        <f>'TR TUSD'!$O$6*'TR TUSD'!$O$60</f>
        <v>0</v>
      </c>
      <c r="P6" s="13">
        <f>'TR TUSD'!$P$6*'TR TUSD'!$P$60</f>
        <v>0</v>
      </c>
      <c r="Q6" s="13">
        <f>'TR TUSD'!$Q$6*'TR TUSD'!$Q$60</f>
        <v>0</v>
      </c>
      <c r="R6" s="13">
        <f>'TR TUSD'!$R$6*'TR TUSD'!$R$60</f>
        <v>0</v>
      </c>
      <c r="S6" s="13">
        <f>'TR TUSD'!$S$6*'TR TUSD'!$S$60</f>
        <v>0</v>
      </c>
      <c r="T6" s="13">
        <f ca="1">SUM($L$6:$S$6)</f>
        <v>0</v>
      </c>
      <c r="U6" s="13">
        <f>'TR TUSD'!$U$6*'TR TUSD'!$U$60</f>
        <v>0</v>
      </c>
      <c r="V6" s="13">
        <f>'TR TUSD'!$V$6*'TR TUSD'!$V$60</f>
        <v>0</v>
      </c>
      <c r="W6" s="13">
        <f>'TR TUSD'!$W$6*'TR TUSD'!$W$60</f>
        <v>0</v>
      </c>
      <c r="X6" s="13">
        <f>'TR TUSD'!$X$6*'TR TUSD'!$X$60</f>
        <v>0</v>
      </c>
      <c r="Y6" s="13">
        <f>'TR TUSD'!$Y$6*'TR TUSD'!$Y$60</f>
        <v>17.350209612115048</v>
      </c>
      <c r="Z6" s="13">
        <f>'TR TUSD'!$Z$6</f>
        <v>0</v>
      </c>
      <c r="AA6" s="13">
        <f>'TR TUSD'!$AA$6</f>
        <v>0</v>
      </c>
      <c r="AB6" s="13">
        <f>SUM($U$6:$AA$6)</f>
        <v>17.350209612115048</v>
      </c>
      <c r="AC6" s="13">
        <f>'TR TUSD'!$AC$6*'TR TUSD'!$AC$60</f>
        <v>30.649913135187028</v>
      </c>
      <c r="AD6" s="13">
        <f>SUM($AC$6:$AC$6)</f>
        <v>30.649913135187028</v>
      </c>
      <c r="AE6" s="13">
        <v>0</v>
      </c>
      <c r="AF6" s="13">
        <v>0</v>
      </c>
      <c r="AG6" s="13">
        <f>SUM($AE$6:$AF$6)</f>
        <v>0</v>
      </c>
      <c r="AH6" s="13">
        <f>'TR TUSD'!$AH$6*'TR TUSD'!$AH$60</f>
        <v>0</v>
      </c>
      <c r="AI6" s="13">
        <f>'TR TUSD'!$AI$6*'TR TUSD'!$AI$60</f>
        <v>0</v>
      </c>
      <c r="AJ6" s="13">
        <f ca="1">'TR TUSD'!$AJ$6*'TR TUSD'!$AJ$60</f>
        <v>0</v>
      </c>
      <c r="AK6" s="13">
        <f ca="1">'TR TUSD'!$AK$6*'TR TUSD'!$AK$60</f>
        <v>0</v>
      </c>
      <c r="AL6" s="13">
        <f ca="1">SUM($AH$6:$AK$6)</f>
        <v>0</v>
      </c>
      <c r="AM6" s="13">
        <f ca="1">SUMIF($L$4:$AL$4,"SUBTOTAL",$L$6:$AL$6)</f>
        <v>48.000122747302072</v>
      </c>
      <c r="AP6" s="13">
        <v>1</v>
      </c>
    </row>
    <row r="7" spans="1:42" ht="11.25" customHeight="1" x14ac:dyDescent="0.25">
      <c r="A7" s="102"/>
      <c r="B7" s="102"/>
      <c r="C7" s="102"/>
      <c r="D7" s="102"/>
      <c r="E7" s="102"/>
      <c r="F7" s="102"/>
      <c r="G7" s="24" t="s">
        <v>70</v>
      </c>
      <c r="H7" s="24" t="s">
        <v>66</v>
      </c>
      <c r="I7" s="24">
        <f>'MERCADO TUSD'!$U$4</f>
        <v>0</v>
      </c>
      <c r="J7" s="15"/>
      <c r="L7" s="13">
        <f>'TR TUSD'!$L$7*'TR TUSD'!$L$60</f>
        <v>0</v>
      </c>
      <c r="M7" s="13">
        <f>'TR TUSD'!$M$7*'TR TUSD'!$M$60</f>
        <v>1.0608402261823178</v>
      </c>
      <c r="N7" s="13">
        <f ca="1">'TR TUSD'!$N$7*'TR TUSD'!$N$60</f>
        <v>0</v>
      </c>
      <c r="O7" s="13">
        <f>'TR TUSD'!$O$7*'TR TUSD'!$O$60</f>
        <v>0</v>
      </c>
      <c r="P7" s="13">
        <f>'TR TUSD'!$P$7*'TR TUSD'!$P$60</f>
        <v>0</v>
      </c>
      <c r="Q7" s="13">
        <f>'TR TUSD'!$Q$7*'TR TUSD'!$Q$60</f>
        <v>76.13648389388301</v>
      </c>
      <c r="R7" s="13">
        <f>'TR TUSD'!$R$7*'TR TUSD'!$R$60</f>
        <v>14.330975493458187</v>
      </c>
      <c r="S7" s="13">
        <f>'TR TUSD'!$S$7*'TR TUSD'!$S$60</f>
        <v>0</v>
      </c>
      <c r="T7" s="13">
        <f ca="1">SUM($L$7:$S$7)</f>
        <v>91.528299613523515</v>
      </c>
      <c r="U7" s="13">
        <f>'TR TUSD'!$U$7*'TR TUSD'!$U$60</f>
        <v>0</v>
      </c>
      <c r="V7" s="13">
        <f>'TR TUSD'!$V$7*'TR TUSD'!$V$60</f>
        <v>0</v>
      </c>
      <c r="W7" s="13">
        <f>'TR TUSD'!$W$7*'TR TUSD'!$W$60</f>
        <v>0</v>
      </c>
      <c r="X7" s="13">
        <f>'TR TUSD'!$X$7*'TR TUSD'!$X$60</f>
        <v>0</v>
      </c>
      <c r="Y7" s="13">
        <f>'TR TUSD'!$Y$7*'TR TUSD'!$Y$60</f>
        <v>0</v>
      </c>
      <c r="Z7" s="13">
        <f>'TR TUSD'!$Z$7</f>
        <v>0</v>
      </c>
      <c r="AA7" s="13">
        <f>'TR TUSD'!$AA$7</f>
        <v>0</v>
      </c>
      <c r="AB7" s="13">
        <f>SUM($U$7:$AA$7)</f>
        <v>0</v>
      </c>
      <c r="AC7" s="13">
        <f>'TR TUSD'!$AC$7*'TR TUSD'!$AC$60</f>
        <v>0</v>
      </c>
      <c r="AD7" s="13">
        <f>SUM($AC$7:$AC$7)</f>
        <v>0</v>
      </c>
      <c r="AE7" s="13">
        <v>0</v>
      </c>
      <c r="AF7" s="13">
        <v>0</v>
      </c>
      <c r="AG7" s="13">
        <f>SUM($AE$7:$AF$7)</f>
        <v>0</v>
      </c>
      <c r="AH7" s="13">
        <f>'TR TUSD'!$AH$7*'TR TUSD'!$AH$60</f>
        <v>4.2186264613189834</v>
      </c>
      <c r="AI7" s="13">
        <f>'TR TUSD'!$AI$7*'TR TUSD'!$AI$60</f>
        <v>0</v>
      </c>
      <c r="AJ7" s="13">
        <f ca="1">'TR TUSD'!$AJ$7*'TR TUSD'!$AJ$60</f>
        <v>0</v>
      </c>
      <c r="AK7" s="13">
        <f ca="1">'TR TUSD'!$AK$7*'TR TUSD'!$AK$60</f>
        <v>0</v>
      </c>
      <c r="AL7" s="13">
        <f ca="1">SUM($AH$7:$AK$7)</f>
        <v>4.2186264613189834</v>
      </c>
      <c r="AM7" s="13">
        <f ca="1">SUMIF($L$4:$AL$4,"SUBTOTAL",$L$7:$AL$7)</f>
        <v>95.746926074842492</v>
      </c>
      <c r="AP7" s="13">
        <v>1</v>
      </c>
    </row>
    <row r="8" spans="1:42" ht="11.25" customHeight="1" x14ac:dyDescent="0.25">
      <c r="A8" s="102"/>
      <c r="B8" s="102"/>
      <c r="C8" s="102"/>
      <c r="D8" s="102"/>
      <c r="E8" s="23" t="s">
        <v>75</v>
      </c>
      <c r="F8" s="23" t="s">
        <v>25</v>
      </c>
      <c r="G8" s="24" t="s">
        <v>70</v>
      </c>
      <c r="H8" s="24" t="s">
        <v>66</v>
      </c>
      <c r="I8" s="24">
        <f>'MERCADO TUSD'!$U$5</f>
        <v>0</v>
      </c>
      <c r="J8" s="15"/>
      <c r="L8" s="13">
        <f>'TR TUSD'!$L$8*'TR TUSD'!$L$60</f>
        <v>0</v>
      </c>
      <c r="M8" s="13">
        <f>'TR TUSD'!$M$8*'TR TUSD'!$M$60</f>
        <v>1.0608402261823178</v>
      </c>
      <c r="N8" s="13">
        <f ca="1">'TR TUSD'!$N$8*'TR TUSD'!$N$60</f>
        <v>0</v>
      </c>
      <c r="O8" s="13">
        <f>'TR TUSD'!$O$8*'TR TUSD'!$O$60</f>
        <v>0</v>
      </c>
      <c r="P8" s="13">
        <f>'TR TUSD'!$P$8*'TR TUSD'!$P$60</f>
        <v>0</v>
      </c>
      <c r="Q8" s="13">
        <f>'TR TUSD'!$Q$8*'TR TUSD'!$Q$60</f>
        <v>0</v>
      </c>
      <c r="R8" s="13">
        <f>'TR TUSD'!$R$8*'TR TUSD'!$R$60</f>
        <v>0</v>
      </c>
      <c r="S8" s="13">
        <f>'TR TUSD'!$S$8*'TR TUSD'!$S$60</f>
        <v>0</v>
      </c>
      <c r="T8" s="13">
        <f ca="1">SUM($L$8:$S$8)</f>
        <v>1.0608402261823178</v>
      </c>
      <c r="U8" s="13">
        <f>'TR TUSD'!$U$8*'TR TUSD'!$U$60</f>
        <v>0</v>
      </c>
      <c r="V8" s="13">
        <f>'TR TUSD'!$V$8*'TR TUSD'!$V$60</f>
        <v>0</v>
      </c>
      <c r="W8" s="13">
        <f>'TR TUSD'!$W$8*'TR TUSD'!$W$60</f>
        <v>0</v>
      </c>
      <c r="X8" s="13">
        <f>'TR TUSD'!$X$8*'TR TUSD'!$X$60</f>
        <v>0</v>
      </c>
      <c r="Y8" s="13">
        <f>'TR TUSD'!$Y$8*'TR TUSD'!$Y$60</f>
        <v>0</v>
      </c>
      <c r="Z8" s="13">
        <f>'TR TUSD'!$Z$8</f>
        <v>0</v>
      </c>
      <c r="AA8" s="13">
        <f>'TR TUSD'!$AA$8</f>
        <v>0</v>
      </c>
      <c r="AB8" s="13">
        <f>SUM($U$8:$AA$8)</f>
        <v>0</v>
      </c>
      <c r="AC8" s="13">
        <f>'TR TUSD'!$AC$8*'TR TUSD'!$AC$60</f>
        <v>0</v>
      </c>
      <c r="AD8" s="13">
        <f>SUM($AC$8:$AC$8)</f>
        <v>0</v>
      </c>
      <c r="AE8" s="13">
        <v>0</v>
      </c>
      <c r="AF8" s="13">
        <v>0</v>
      </c>
      <c r="AG8" s="13">
        <f>SUM($AE$8:$AF$8)</f>
        <v>0</v>
      </c>
      <c r="AH8" s="13">
        <f>'TR TUSD'!$AH$8*'TR TUSD'!$AH$60</f>
        <v>4.2186264613189834</v>
      </c>
      <c r="AI8" s="13">
        <f>'TR TUSD'!$AI$8*'TR TUSD'!$AI$60</f>
        <v>0</v>
      </c>
      <c r="AJ8" s="13">
        <f ca="1">'TR TUSD'!$AJ$8*'TR TUSD'!$AJ$60</f>
        <v>0</v>
      </c>
      <c r="AK8" s="13">
        <f ca="1">'TR TUSD'!$AK$8*'TR TUSD'!$AK$60</f>
        <v>0</v>
      </c>
      <c r="AL8" s="13">
        <f ca="1">SUM($AH$8:$AK$8)</f>
        <v>4.2186264613189834</v>
      </c>
      <c r="AM8" s="13">
        <f ca="1">SUMIF($L$4:$AL$4,"SUBTOTAL",$L$8:$AL$8)</f>
        <v>5.2794666875013014</v>
      </c>
      <c r="AP8" s="13">
        <v>1</v>
      </c>
    </row>
    <row r="9" spans="1:42" ht="11.25" customHeight="1" x14ac:dyDescent="0.25">
      <c r="A9" s="102"/>
      <c r="B9" s="23" t="s">
        <v>76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72</v>
      </c>
      <c r="I9" s="24">
        <f>'MERCADO TUSD'!$U$6</f>
        <v>0</v>
      </c>
      <c r="J9" s="15"/>
      <c r="L9" s="13">
        <f>'TR TUSD'!$L$9*'TR TUSD'!$L$60</f>
        <v>0</v>
      </c>
      <c r="M9" s="13">
        <f>'TR TUSD'!$M$9*'TR TUSD'!$M$60</f>
        <v>1.379578609986242E-2</v>
      </c>
      <c r="N9" s="13">
        <f ca="1">'TR TUSD'!$N$9*'TR TUSD'!$N$60</f>
        <v>0</v>
      </c>
      <c r="O9" s="13">
        <f>'TR TUSD'!$O$9*'TR TUSD'!$O$60</f>
        <v>0</v>
      </c>
      <c r="P9" s="13">
        <f>'TR TUSD'!$P$9*'TR TUSD'!$P$60</f>
        <v>0</v>
      </c>
      <c r="Q9" s="13">
        <f>'TR TUSD'!$Q$9*'TR TUSD'!$Q$60</f>
        <v>0</v>
      </c>
      <c r="R9" s="13">
        <f>'TR TUSD'!$R$9*'TR TUSD'!$R$60</f>
        <v>0</v>
      </c>
      <c r="S9" s="13">
        <f>'TR TUSD'!$S$9*'TR TUSD'!$S$60</f>
        <v>0</v>
      </c>
      <c r="T9" s="13">
        <f ca="1">SUM($L$9:$S$9)</f>
        <v>1.379578609986242E-2</v>
      </c>
      <c r="U9" s="13">
        <f>'TR TUSD'!$U$9*'TR TUSD'!$U$60</f>
        <v>0</v>
      </c>
      <c r="V9" s="13">
        <f>'TR TUSD'!$V$9*'TR TUSD'!$V$60</f>
        <v>0</v>
      </c>
      <c r="W9" s="13">
        <f>'TR TUSD'!$W$9*'TR TUSD'!$W$60</f>
        <v>0</v>
      </c>
      <c r="X9" s="13">
        <f>'TR TUSD'!$X$9*'TR TUSD'!$X$60</f>
        <v>0</v>
      </c>
      <c r="Y9" s="13">
        <f>'TR TUSD'!$Y$9*'TR TUSD'!$Y$60</f>
        <v>0</v>
      </c>
      <c r="Z9" s="13">
        <f>'TR TUSD'!$Z$9*'TR TUSD'!$Z$60</f>
        <v>0</v>
      </c>
      <c r="AA9" s="13">
        <f>'TR TUSD'!$AA$9*'TR TUSD'!$AA$60</f>
        <v>0</v>
      </c>
      <c r="AB9" s="13">
        <f>SUM($U$9:$AA$9)</f>
        <v>0</v>
      </c>
      <c r="AC9" s="13">
        <f>'TR TUSD'!$AC$9*'TR TUSD'!$AC$60</f>
        <v>15.878422796886023</v>
      </c>
      <c r="AD9" s="13">
        <f>SUM($AC$9:$AC$9)</f>
        <v>15.878422796886023</v>
      </c>
      <c r="AE9" s="13">
        <v>0</v>
      </c>
      <c r="AF9" s="13">
        <v>0</v>
      </c>
      <c r="AG9" s="13">
        <f>SUM($AE$9:$AF$9)</f>
        <v>0</v>
      </c>
      <c r="AH9" s="13">
        <f>'TR TUSD'!$AH$9*'TR TUSD'!$AH$60</f>
        <v>0</v>
      </c>
      <c r="AI9" s="13">
        <f>'TR TUSD'!$AI$9*'TR TUSD'!$AI$60</f>
        <v>0</v>
      </c>
      <c r="AJ9" s="13">
        <f ca="1">'TR TUSD'!$AJ$9*'TR TUSD'!$AJ$60</f>
        <v>0</v>
      </c>
      <c r="AK9" s="13">
        <f ca="1">'TR TUSD'!$AK$9*'TR TUSD'!$AK$60</f>
        <v>0</v>
      </c>
      <c r="AL9" s="13">
        <f ca="1">SUM($AH$9:$AK$9)</f>
        <v>0</v>
      </c>
      <c r="AM9" s="13">
        <f ca="1">SUMIF($L$4:$AL$4,"SUBTOTAL",$L$9:$AL$9)</f>
        <v>15.892218582985885</v>
      </c>
      <c r="AP9" s="13"/>
    </row>
    <row r="10" spans="1:42" ht="11.25" customHeight="1" x14ac:dyDescent="0.25">
      <c r="A10" s="102"/>
      <c r="B10" s="102" t="s">
        <v>40</v>
      </c>
      <c r="C10" s="102" t="s">
        <v>25</v>
      </c>
      <c r="D10" s="102" t="s">
        <v>25</v>
      </c>
      <c r="E10" s="102" t="s">
        <v>25</v>
      </c>
      <c r="F10" s="102" t="s">
        <v>25</v>
      </c>
      <c r="G10" s="24" t="s">
        <v>9</v>
      </c>
      <c r="H10" s="24" t="s">
        <v>72</v>
      </c>
      <c r="I10" s="24">
        <f>'MERCADO TUSD'!$U$7</f>
        <v>6377</v>
      </c>
      <c r="J10" s="15"/>
      <c r="L10" s="13">
        <f>'TR TUSD'!$L$10*'TR TUSD'!$L$60</f>
        <v>0</v>
      </c>
      <c r="M10" s="13">
        <f>'TR TUSD'!$M$10*'TR TUSD'!$M$60</f>
        <v>0</v>
      </c>
      <c r="N10" s="13">
        <f ca="1">'TR TUSD'!$N$10*'TR TUSD'!$N$60</f>
        <v>0</v>
      </c>
      <c r="O10" s="13">
        <f>'TR TUSD'!$O$10*'TR TUSD'!$O$60</f>
        <v>0</v>
      </c>
      <c r="P10" s="13">
        <f>'TR TUSD'!$P$10*'TR TUSD'!$P$60</f>
        <v>0</v>
      </c>
      <c r="Q10" s="13">
        <f>'TR TUSD'!$Q$10*'TR TUSD'!$Q$60</f>
        <v>0</v>
      </c>
      <c r="R10" s="13">
        <f>'TR TUSD'!$R$10*'TR TUSD'!$R$60</f>
        <v>0</v>
      </c>
      <c r="S10" s="13">
        <f>'TR TUSD'!$S$10*'TR TUSD'!$S$60</f>
        <v>0</v>
      </c>
      <c r="T10" s="13">
        <f ca="1">SUM($L$10:$S$10)</f>
        <v>0</v>
      </c>
      <c r="U10" s="13">
        <f>'TR TUSD'!$U$10*'TR TUSD'!$U$60</f>
        <v>0</v>
      </c>
      <c r="V10" s="13">
        <f>'TR TUSD'!$V$10*'TR TUSD'!$V$60</f>
        <v>0</v>
      </c>
      <c r="W10" s="13">
        <f>'TR TUSD'!$W$10*'TR TUSD'!$W$60</f>
        <v>0</v>
      </c>
      <c r="X10" s="13">
        <f>'TR TUSD'!$X$10*'TR TUSD'!$X$60</f>
        <v>0</v>
      </c>
      <c r="Y10" s="13">
        <f>'TR TUSD'!$Y$10*'TR TUSD'!$Y$60</f>
        <v>17.350209612115048</v>
      </c>
      <c r="Z10" s="13">
        <f>'TR TUSD'!$Z$10</f>
        <v>0</v>
      </c>
      <c r="AA10" s="13">
        <f>'TR TUSD'!$AA$10</f>
        <v>0</v>
      </c>
      <c r="AB10" s="13">
        <f>SUM($U$10:$AA$10)</f>
        <v>17.350209612115048</v>
      </c>
      <c r="AC10" s="13">
        <f>'TR TUSD'!$AC$10*'TR TUSD'!$AC$60</f>
        <v>30.649913135187028</v>
      </c>
      <c r="AD10" s="13">
        <f>SUM($AC$10:$AC$10)</f>
        <v>30.649913135187028</v>
      </c>
      <c r="AE10" s="13">
        <v>0</v>
      </c>
      <c r="AF10" s="13">
        <v>0</v>
      </c>
      <c r="AG10" s="13">
        <f>SUM($AE$10:$AF$10)</f>
        <v>0</v>
      </c>
      <c r="AH10" s="13">
        <f>'TR TUSD'!$AH$10*'TR TUSD'!$AH$60</f>
        <v>0</v>
      </c>
      <c r="AI10" s="13">
        <f>'TR TUSD'!$AI$10*'TR TUSD'!$AI$60</f>
        <v>0</v>
      </c>
      <c r="AJ10" s="13">
        <f ca="1">'TR TUSD'!$AJ$10*'TR TUSD'!$AJ$60</f>
        <v>0</v>
      </c>
      <c r="AK10" s="13">
        <f ca="1">'TR TUSD'!$AK$10*'TR TUSD'!$AK$60</f>
        <v>0</v>
      </c>
      <c r="AL10" s="13">
        <f ca="1">SUM($AH$10:$AK$10)</f>
        <v>0</v>
      </c>
      <c r="AM10" s="13">
        <f ca="1">SUMIF($L$4:$AL$4,"SUBTOTAL",$L$10:$AL$10)</f>
        <v>48.000122747302072</v>
      </c>
      <c r="AP10" s="13">
        <v>1</v>
      </c>
    </row>
    <row r="11" spans="1:42" ht="11.25" customHeight="1" x14ac:dyDescent="0.25">
      <c r="A11" s="102"/>
      <c r="B11" s="102"/>
      <c r="C11" s="102"/>
      <c r="D11" s="102"/>
      <c r="E11" s="102"/>
      <c r="F11" s="102"/>
      <c r="G11" s="24" t="s">
        <v>67</v>
      </c>
      <c r="H11" s="24" t="s">
        <v>66</v>
      </c>
      <c r="I11" s="24">
        <f>'MERCADO TUSD'!$U$8</f>
        <v>60.844000000000008</v>
      </c>
      <c r="J11" s="15"/>
      <c r="L11" s="13">
        <f>'TR TUSD'!$L$11*'TR TUSD'!$L$60</f>
        <v>0</v>
      </c>
      <c r="M11" s="13">
        <f>'TR TUSD'!$M$11*'TR TUSD'!$M$60</f>
        <v>1.0608402261823178</v>
      </c>
      <c r="N11" s="13">
        <f ca="1">'TR TUSD'!$N$11*'TR TUSD'!$N$60</f>
        <v>0</v>
      </c>
      <c r="O11" s="13">
        <f>'TR TUSD'!$O$11*'TR TUSD'!$O$60</f>
        <v>0</v>
      </c>
      <c r="P11" s="13">
        <f>'TR TUSD'!$P$11*'TR TUSD'!$P$60</f>
        <v>0</v>
      </c>
      <c r="Q11" s="13">
        <f>'TR TUSD'!$Q$11*'TR TUSD'!$Q$60</f>
        <v>76.13648389388301</v>
      </c>
      <c r="R11" s="13">
        <f>'TR TUSD'!$R$11*'TR TUSD'!$R$60</f>
        <v>14.330975493458187</v>
      </c>
      <c r="S11" s="13">
        <f>'TR TUSD'!$S$11*'TR TUSD'!$S$60</f>
        <v>0</v>
      </c>
      <c r="T11" s="13">
        <f ca="1">SUM($L$11:$S$11)</f>
        <v>91.528299613523515</v>
      </c>
      <c r="U11" s="13">
        <f>'TR TUSD'!$U$11*'TR TUSD'!$U$60</f>
        <v>0</v>
      </c>
      <c r="V11" s="13">
        <f>'TR TUSD'!$V$11*'TR TUSD'!$V$60</f>
        <v>0</v>
      </c>
      <c r="W11" s="13">
        <f>'TR TUSD'!$W$11*'TR TUSD'!$W$60</f>
        <v>0</v>
      </c>
      <c r="X11" s="13">
        <f>'TR TUSD'!$X$11*'TR TUSD'!$X$60</f>
        <v>0</v>
      </c>
      <c r="Y11" s="13">
        <f>'TR TUSD'!$Y$11*'TR TUSD'!$Y$60</f>
        <v>829.95728817855547</v>
      </c>
      <c r="Z11" s="13">
        <f>'TR TUSD'!$Z$11</f>
        <v>0</v>
      </c>
      <c r="AA11" s="13">
        <f>'TR TUSD'!$AA$11</f>
        <v>0</v>
      </c>
      <c r="AB11" s="13">
        <f>SUM($U$11:$AA$11)</f>
        <v>829.95728817855547</v>
      </c>
      <c r="AC11" s="13">
        <f>'TR TUSD'!$AC$11*'TR TUSD'!$AC$60</f>
        <v>1599.7767982036728</v>
      </c>
      <c r="AD11" s="13">
        <f>SUM($AC$11:$AC$11)</f>
        <v>1599.7767982036728</v>
      </c>
      <c r="AE11" s="13">
        <v>0</v>
      </c>
      <c r="AF11" s="13">
        <v>0</v>
      </c>
      <c r="AG11" s="13">
        <f>SUM($AE$11:$AF$11)</f>
        <v>0</v>
      </c>
      <c r="AH11" s="13">
        <f>'TR TUSD'!$AH$11*'TR TUSD'!$AH$60</f>
        <v>4.2186264613189834</v>
      </c>
      <c r="AI11" s="13">
        <f>'TR TUSD'!$AI$11*'TR TUSD'!$AI$60</f>
        <v>0</v>
      </c>
      <c r="AJ11" s="13">
        <f ca="1">'TR TUSD'!$AJ$11*'TR TUSD'!$AJ$60</f>
        <v>0</v>
      </c>
      <c r="AK11" s="13">
        <f ca="1">'TR TUSD'!$AK$11*'TR TUSD'!$AK$60</f>
        <v>0</v>
      </c>
      <c r="AL11" s="13">
        <f ca="1">SUM($AH$11:$AK$11)</f>
        <v>4.2186264613189834</v>
      </c>
      <c r="AM11" s="13">
        <f ca="1">SUMIF($L$4:$AL$4,"SUBTOTAL",$L$11:$AL$11)</f>
        <v>2525.4810124570704</v>
      </c>
      <c r="AP11" s="13">
        <v>1</v>
      </c>
    </row>
    <row r="12" spans="1:42" ht="11.25" customHeight="1" x14ac:dyDescent="0.25">
      <c r="A12" s="102"/>
      <c r="B12" s="102"/>
      <c r="C12" s="102"/>
      <c r="D12" s="102"/>
      <c r="E12" s="102"/>
      <c r="F12" s="102"/>
      <c r="G12" s="24" t="s">
        <v>68</v>
      </c>
      <c r="H12" s="24" t="s">
        <v>66</v>
      </c>
      <c r="I12" s="24">
        <f>'MERCADO TUSD'!$U$9</f>
        <v>1244.3510000000001</v>
      </c>
      <c r="J12" s="15"/>
      <c r="L12" s="13">
        <f>'TR TUSD'!$L$12*'TR TUSD'!$L$60</f>
        <v>0</v>
      </c>
      <c r="M12" s="13">
        <f>'TR TUSD'!$M$12*'TR TUSD'!$M$60</f>
        <v>1.0608402261823178</v>
      </c>
      <c r="N12" s="13">
        <f ca="1">'TR TUSD'!$N$12*'TR TUSD'!$N$60</f>
        <v>0</v>
      </c>
      <c r="O12" s="13">
        <f>'TR TUSD'!$O$12*'TR TUSD'!$O$60</f>
        <v>0</v>
      </c>
      <c r="P12" s="13">
        <f>'TR TUSD'!$P$12*'TR TUSD'!$P$60</f>
        <v>0</v>
      </c>
      <c r="Q12" s="13">
        <f>'TR TUSD'!$Q$12*'TR TUSD'!$Q$60</f>
        <v>76.13648389388301</v>
      </c>
      <c r="R12" s="13">
        <f>'TR TUSD'!$R$12*'TR TUSD'!$R$60</f>
        <v>14.330975493458187</v>
      </c>
      <c r="S12" s="13">
        <f>'TR TUSD'!$S$12*'TR TUSD'!$S$60</f>
        <v>0</v>
      </c>
      <c r="T12" s="13">
        <f ca="1">SUM($L$12:$S$12)</f>
        <v>91.528299613523515</v>
      </c>
      <c r="U12" s="13">
        <f>'TR TUSD'!$U$12*'TR TUSD'!$U$60</f>
        <v>0</v>
      </c>
      <c r="V12" s="13">
        <f>'TR TUSD'!$V$12*'TR TUSD'!$V$60</f>
        <v>0</v>
      </c>
      <c r="W12" s="13">
        <f>'TR TUSD'!$W$12*'TR TUSD'!$W$60</f>
        <v>0</v>
      </c>
      <c r="X12" s="13">
        <f>'TR TUSD'!$X$12*'TR TUSD'!$X$60</f>
        <v>0</v>
      </c>
      <c r="Y12" s="13">
        <f>'TR TUSD'!$Y$12*'TR TUSD'!$Y$60</f>
        <v>0</v>
      </c>
      <c r="Z12" s="13">
        <f>'TR TUSD'!$Z$12</f>
        <v>0</v>
      </c>
      <c r="AA12" s="13">
        <f>'TR TUSD'!$AA$12</f>
        <v>0</v>
      </c>
      <c r="AB12" s="13">
        <f>SUM($U$12:$AA$12)</f>
        <v>0</v>
      </c>
      <c r="AC12" s="13">
        <f>'TR TUSD'!$AC$12*'TR TUSD'!$AC$60</f>
        <v>0</v>
      </c>
      <c r="AD12" s="13">
        <f>SUM($AC$12:$AC$12)</f>
        <v>0</v>
      </c>
      <c r="AE12" s="13">
        <v>0</v>
      </c>
      <c r="AF12" s="13">
        <v>0</v>
      </c>
      <c r="AG12" s="13">
        <f>SUM($AE$12:$AF$12)</f>
        <v>0</v>
      </c>
      <c r="AH12" s="13">
        <f>'TR TUSD'!$AH$12*'TR TUSD'!$AH$60</f>
        <v>4.2186264613189834</v>
      </c>
      <c r="AI12" s="13">
        <f>'TR TUSD'!$AI$12*'TR TUSD'!$AI$60</f>
        <v>0</v>
      </c>
      <c r="AJ12" s="13">
        <f ca="1">'TR TUSD'!$AJ$12*'TR TUSD'!$AJ$60</f>
        <v>0</v>
      </c>
      <c r="AK12" s="13">
        <f ca="1">'TR TUSD'!$AK$12*'TR TUSD'!$AK$60</f>
        <v>0</v>
      </c>
      <c r="AL12" s="13">
        <f ca="1">SUM($AH$12:$AK$12)</f>
        <v>4.2186264613189834</v>
      </c>
      <c r="AM12" s="13">
        <f ca="1">SUMIF($L$4:$AL$4,"SUBTOTAL",$L$12:$AL$12)</f>
        <v>95.746926074842492</v>
      </c>
      <c r="AP12" s="13">
        <v>1</v>
      </c>
    </row>
    <row r="13" spans="1:42" ht="11.25" customHeight="1" x14ac:dyDescent="0.25">
      <c r="A13" s="102"/>
      <c r="B13" s="102"/>
      <c r="C13" s="102"/>
      <c r="D13" s="102"/>
      <c r="E13" s="102" t="s">
        <v>75</v>
      </c>
      <c r="F13" s="102" t="s">
        <v>25</v>
      </c>
      <c r="G13" s="24" t="s">
        <v>67</v>
      </c>
      <c r="H13" s="24" t="s">
        <v>66</v>
      </c>
      <c r="I13" s="24">
        <f>'MERCADO TUSD'!$U$10</f>
        <v>0</v>
      </c>
      <c r="J13" s="15"/>
      <c r="L13" s="13">
        <f>'TR TUSD'!$L$13*'TR TUSD'!$L$60</f>
        <v>0</v>
      </c>
      <c r="M13" s="13">
        <f>'TR TUSD'!$M$13*'TR TUSD'!$M$60</f>
        <v>1.0608402261823178</v>
      </c>
      <c r="N13" s="13">
        <f ca="1">'TR TUSD'!$N$13*'TR TUSD'!$N$60</f>
        <v>0</v>
      </c>
      <c r="O13" s="13">
        <f>'TR TUSD'!$O$13*'TR TUSD'!$O$60</f>
        <v>0</v>
      </c>
      <c r="P13" s="13">
        <f>'TR TUSD'!$P$13*'TR TUSD'!$P$60</f>
        <v>0</v>
      </c>
      <c r="Q13" s="13">
        <f>'TR TUSD'!$Q$13*'TR TUSD'!$Q$60</f>
        <v>0</v>
      </c>
      <c r="R13" s="13">
        <f>'TR TUSD'!$R$13*'TR TUSD'!$R$60</f>
        <v>0</v>
      </c>
      <c r="S13" s="13">
        <f>'TR TUSD'!$S$13*'TR TUSD'!$S$60</f>
        <v>0</v>
      </c>
      <c r="T13" s="13">
        <f ca="1">SUM($L$13:$S$13)</f>
        <v>1.0608402261823178</v>
      </c>
      <c r="U13" s="13">
        <f>'TR TUSD'!$U$13*'TR TUSD'!$U$60</f>
        <v>0</v>
      </c>
      <c r="V13" s="13">
        <f>'TR TUSD'!$V$13*'TR TUSD'!$V$60</f>
        <v>0</v>
      </c>
      <c r="W13" s="13">
        <f>'TR TUSD'!$W$13*'TR TUSD'!$W$60</f>
        <v>0</v>
      </c>
      <c r="X13" s="13">
        <f>'TR TUSD'!$X$13*'TR TUSD'!$X$60</f>
        <v>0</v>
      </c>
      <c r="Y13" s="13">
        <f>'TR TUSD'!$Y$13*'TR TUSD'!$Y$60</f>
        <v>829.95728817855547</v>
      </c>
      <c r="Z13" s="13">
        <f>'TR TUSD'!$Z$13</f>
        <v>0</v>
      </c>
      <c r="AA13" s="13">
        <f>'TR TUSD'!$AA$13</f>
        <v>0</v>
      </c>
      <c r="AB13" s="13">
        <f>SUM($U$13:$AA$13)</f>
        <v>829.95728817855547</v>
      </c>
      <c r="AC13" s="13">
        <f>'TR TUSD'!$AC$13*'TR TUSD'!$AC$60</f>
        <v>1599.7767982036728</v>
      </c>
      <c r="AD13" s="13">
        <f>SUM($AC$13:$AC$13)</f>
        <v>1599.7767982036728</v>
      </c>
      <c r="AE13" s="13">
        <v>0</v>
      </c>
      <c r="AF13" s="13">
        <v>0</v>
      </c>
      <c r="AG13" s="13">
        <f>SUM($AE$13:$AF$13)</f>
        <v>0</v>
      </c>
      <c r="AH13" s="13">
        <f>'TR TUSD'!$AH$13*'TR TUSD'!$AH$60</f>
        <v>4.2186264613189834</v>
      </c>
      <c r="AI13" s="13">
        <f>'TR TUSD'!$AI$13*'TR TUSD'!$AI$60</f>
        <v>0</v>
      </c>
      <c r="AJ13" s="13">
        <f ca="1">'TR TUSD'!$AJ$13*'TR TUSD'!$AJ$60</f>
        <v>0</v>
      </c>
      <c r="AK13" s="13">
        <f ca="1">'TR TUSD'!$AK$13*'TR TUSD'!$AK$60</f>
        <v>0</v>
      </c>
      <c r="AL13" s="13">
        <f ca="1">SUM($AH$13:$AK$13)</f>
        <v>4.2186264613189834</v>
      </c>
      <c r="AM13" s="13">
        <f ca="1">SUMIF($L$4:$AL$4,"SUBTOTAL",$L$13:$AL$13)</f>
        <v>2435.0135530697294</v>
      </c>
      <c r="AP13" s="13">
        <v>1</v>
      </c>
    </row>
    <row r="14" spans="1:42" ht="11.25" customHeight="1" x14ac:dyDescent="0.25">
      <c r="A14" s="102"/>
      <c r="B14" s="102"/>
      <c r="C14" s="102"/>
      <c r="D14" s="102"/>
      <c r="E14" s="102"/>
      <c r="F14" s="102"/>
      <c r="G14" s="24" t="s">
        <v>68</v>
      </c>
      <c r="H14" s="24" t="s">
        <v>66</v>
      </c>
      <c r="I14" s="24">
        <f>'MERCADO TUSD'!$U$11</f>
        <v>0</v>
      </c>
      <c r="J14" s="15"/>
      <c r="L14" s="13">
        <f>'TR TUSD'!$L$14*'TR TUSD'!$L$60</f>
        <v>0</v>
      </c>
      <c r="M14" s="13">
        <f>'TR TUSD'!$M$14*'TR TUSD'!$M$60</f>
        <v>1.0608402261823178</v>
      </c>
      <c r="N14" s="13">
        <f ca="1">'TR TUSD'!$N$14*'TR TUSD'!$N$60</f>
        <v>0</v>
      </c>
      <c r="O14" s="13">
        <f>'TR TUSD'!$O$14*'TR TUSD'!$O$60</f>
        <v>0</v>
      </c>
      <c r="P14" s="13">
        <f>'TR TUSD'!$P$14*'TR TUSD'!$P$60</f>
        <v>0</v>
      </c>
      <c r="Q14" s="13">
        <f>'TR TUSD'!$Q$14*'TR TUSD'!$Q$60</f>
        <v>0</v>
      </c>
      <c r="R14" s="13">
        <f>'TR TUSD'!$R$14*'TR TUSD'!$R$60</f>
        <v>0</v>
      </c>
      <c r="S14" s="13">
        <f>'TR TUSD'!$S$14*'TR TUSD'!$S$60</f>
        <v>0</v>
      </c>
      <c r="T14" s="13">
        <f ca="1">SUM($L$14:$S$14)</f>
        <v>1.0608402261823178</v>
      </c>
      <c r="U14" s="13">
        <f>'TR TUSD'!$U$14*'TR TUSD'!$U$60</f>
        <v>0</v>
      </c>
      <c r="V14" s="13">
        <f>'TR TUSD'!$V$14*'TR TUSD'!$V$60</f>
        <v>0</v>
      </c>
      <c r="W14" s="13">
        <f>'TR TUSD'!$W$14*'TR TUSD'!$W$60</f>
        <v>0</v>
      </c>
      <c r="X14" s="13">
        <f>'TR TUSD'!$X$14*'TR TUSD'!$X$60</f>
        <v>0</v>
      </c>
      <c r="Y14" s="13">
        <f>'TR TUSD'!$Y$14*'TR TUSD'!$Y$60</f>
        <v>0</v>
      </c>
      <c r="Z14" s="13">
        <f>'TR TUSD'!$Z$14</f>
        <v>0</v>
      </c>
      <c r="AA14" s="13">
        <f>'TR TUSD'!$AA$14</f>
        <v>0</v>
      </c>
      <c r="AB14" s="13">
        <f>SUM($U$14:$AA$14)</f>
        <v>0</v>
      </c>
      <c r="AC14" s="13">
        <f>'TR TUSD'!$AC$14*'TR TUSD'!$AC$60</f>
        <v>0</v>
      </c>
      <c r="AD14" s="13">
        <f>SUM($AC$14:$AC$14)</f>
        <v>0</v>
      </c>
      <c r="AE14" s="13">
        <v>0</v>
      </c>
      <c r="AF14" s="13">
        <v>0</v>
      </c>
      <c r="AG14" s="13">
        <f>SUM($AE$14:$AF$14)</f>
        <v>0</v>
      </c>
      <c r="AH14" s="13">
        <f>'TR TUSD'!$AH$14*'TR TUSD'!$AH$60</f>
        <v>4.2186264613189834</v>
      </c>
      <c r="AI14" s="13">
        <f>'TR TUSD'!$AI$14*'TR TUSD'!$AI$60</f>
        <v>0</v>
      </c>
      <c r="AJ14" s="13">
        <f ca="1">'TR TUSD'!$AJ$14*'TR TUSD'!$AJ$60</f>
        <v>0</v>
      </c>
      <c r="AK14" s="13">
        <f ca="1">'TR TUSD'!$AK$14*'TR TUSD'!$AK$60</f>
        <v>0</v>
      </c>
      <c r="AL14" s="13">
        <f ca="1">SUM($AH$14:$AK$14)</f>
        <v>4.2186264613189834</v>
      </c>
      <c r="AM14" s="13">
        <f ca="1">SUMIF($L$4:$AL$4,"SUBTOTAL",$L$14:$AL$14)</f>
        <v>5.2794666875013014</v>
      </c>
      <c r="AP14" s="13">
        <v>1</v>
      </c>
    </row>
    <row r="15" spans="1:42" ht="11.25" customHeight="1" x14ac:dyDescent="0.25">
      <c r="A15" s="102" t="s">
        <v>77</v>
      </c>
      <c r="B15" s="102" t="s">
        <v>76</v>
      </c>
      <c r="C15" s="102" t="s">
        <v>25</v>
      </c>
      <c r="D15" s="102" t="s">
        <v>25</v>
      </c>
      <c r="E15" s="23" t="s">
        <v>78</v>
      </c>
      <c r="F15" s="23" t="s">
        <v>25</v>
      </c>
      <c r="G15" s="24" t="s">
        <v>9</v>
      </c>
      <c r="H15" s="24" t="s">
        <v>72</v>
      </c>
      <c r="I15" s="24">
        <f>'MERCADO TUSD'!$U$12+0.00000001</f>
        <v>1E-8</v>
      </c>
      <c r="J15" s="15"/>
      <c r="L15" s="13">
        <f>'TR TUSD'!$L$15*'TR TUSD'!$L$60</f>
        <v>0</v>
      </c>
      <c r="M15" s="13">
        <f>'TR TUSD'!$M$15*'TR TUSD'!$M$60</f>
        <v>5.4777385984747847E-3</v>
      </c>
      <c r="N15" s="13">
        <f ca="1">'TR TUSD'!$N$15*'TR TUSD'!$N$60</f>
        <v>0</v>
      </c>
      <c r="O15" s="13">
        <f>'TR TUSD'!$O$15*'TR TUSD'!$O$60</f>
        <v>0</v>
      </c>
      <c r="P15" s="13">
        <f>'TR TUSD'!$P$15*'TR TUSD'!$P$60</f>
        <v>0</v>
      </c>
      <c r="Q15" s="13">
        <f>'TR TUSD'!$Q$15*'TR TUSD'!$Q$60</f>
        <v>0</v>
      </c>
      <c r="R15" s="13">
        <f>'TR TUSD'!$R$15*'TR TUSD'!$R$60</f>
        <v>0</v>
      </c>
      <c r="S15" s="13">
        <f>'TR TUSD'!$S$15*'TR TUSD'!$S$60</f>
        <v>0</v>
      </c>
      <c r="T15" s="13">
        <f ca="1">SUM($L$15:$S$15)</f>
        <v>5.4777385984747847E-3</v>
      </c>
      <c r="U15" s="13">
        <f>'TR TUSD'!$U$15*'TR TUSD'!$U$60</f>
        <v>0</v>
      </c>
      <c r="V15" s="13">
        <f>'TR TUSD'!$V$15*'TR TUSD'!$V$60</f>
        <v>0</v>
      </c>
      <c r="W15" s="13">
        <f>'TR TUSD'!$W$15*'TR TUSD'!$W$60</f>
        <v>0</v>
      </c>
      <c r="X15" s="13">
        <f>'TR TUSD'!$X$15*'TR TUSD'!$X$60</f>
        <v>0</v>
      </c>
      <c r="Y15" s="13">
        <f>'TR TUSD'!$Y$15*'TR TUSD'!$Y$60</f>
        <v>0</v>
      </c>
      <c r="Z15" s="13">
        <f>'TR TUSD'!$Z$15*'TR TUSD'!$Z$60</f>
        <v>0</v>
      </c>
      <c r="AA15" s="13">
        <f>'TR TUSD'!$AA$15*'TR TUSD'!$AA$60</f>
        <v>0</v>
      </c>
      <c r="AB15" s="13">
        <f>SUM($U$15:$AA$15)</f>
        <v>0</v>
      </c>
      <c r="AC15" s="13">
        <f>'TR TUSD'!$AC$15*'TR TUSD'!$AC$60</f>
        <v>6.2732368098401174</v>
      </c>
      <c r="AD15" s="13">
        <f>SUM($AC$15:$AC$15)</f>
        <v>6.2732368098401174</v>
      </c>
      <c r="AE15" s="13">
        <v>0</v>
      </c>
      <c r="AF15" s="13">
        <v>0</v>
      </c>
      <c r="AG15" s="13">
        <f>SUM($AE$15:$AF$15)</f>
        <v>0</v>
      </c>
      <c r="AH15" s="13">
        <f>'TR TUSD'!$AH$15*'TR TUSD'!$AH$60</f>
        <v>0</v>
      </c>
      <c r="AI15" s="13">
        <f>'TR TUSD'!$AI$15*'TR TUSD'!$AI$60</f>
        <v>0</v>
      </c>
      <c r="AJ15" s="13">
        <f ca="1">'TR TUSD'!$AJ$15*'TR TUSD'!$AJ$60</f>
        <v>0</v>
      </c>
      <c r="AK15" s="13">
        <f ca="1">'TR TUSD'!$AK$15*'TR TUSD'!$AK$60</f>
        <v>0</v>
      </c>
      <c r="AL15" s="13">
        <f ca="1">SUM($AH$15:$AK$15)</f>
        <v>0</v>
      </c>
      <c r="AM15" s="13">
        <f ca="1">SUMIF($L$4:$AL$4,"SUBTOTAL",$L$15:$AL$15)</f>
        <v>6.2787145484385922</v>
      </c>
      <c r="AP15" s="13"/>
    </row>
    <row r="16" spans="1:42" ht="11.25" customHeight="1" x14ac:dyDescent="0.25">
      <c r="A16" s="102"/>
      <c r="B16" s="102"/>
      <c r="C16" s="102"/>
      <c r="D16" s="102"/>
      <c r="E16" s="23" t="s">
        <v>79</v>
      </c>
      <c r="F16" s="23" t="s">
        <v>25</v>
      </c>
      <c r="G16" s="24" t="s">
        <v>9</v>
      </c>
      <c r="H16" s="24" t="s">
        <v>72</v>
      </c>
      <c r="I16" s="24">
        <f>'MERCADO TUSD'!$U$13+0.00000001</f>
        <v>1E-8</v>
      </c>
      <c r="J16" s="15"/>
      <c r="L16" s="13">
        <f>'TR TUSD'!$L$16*'TR TUSD'!$L$60</f>
        <v>0</v>
      </c>
      <c r="M16" s="13">
        <f>'TR TUSD'!$M$16*'TR TUSD'!$M$60</f>
        <v>5.4777385984747847E-3</v>
      </c>
      <c r="N16" s="13">
        <f ca="1">'TR TUSD'!$N$16*'TR TUSD'!$N$60</f>
        <v>0</v>
      </c>
      <c r="O16" s="13">
        <f>'TR TUSD'!$O$16*'TR TUSD'!$O$60</f>
        <v>0</v>
      </c>
      <c r="P16" s="13">
        <f>'TR TUSD'!$P$16*'TR TUSD'!$P$60</f>
        <v>0</v>
      </c>
      <c r="Q16" s="13">
        <f>'TR TUSD'!$Q$16*'TR TUSD'!$Q$60</f>
        <v>0</v>
      </c>
      <c r="R16" s="13">
        <f>'TR TUSD'!$R$16*'TR TUSD'!$R$60</f>
        <v>0</v>
      </c>
      <c r="S16" s="13">
        <f>'TR TUSD'!$S$16*'TR TUSD'!$S$60</f>
        <v>0</v>
      </c>
      <c r="T16" s="13">
        <f ca="1">SUM($L$16:$S$16)</f>
        <v>5.4777385984747847E-3</v>
      </c>
      <c r="U16" s="13">
        <f>'TR TUSD'!$U$16*'TR TUSD'!$U$60</f>
        <v>0</v>
      </c>
      <c r="V16" s="13">
        <f>'TR TUSD'!$V$16*'TR TUSD'!$V$60</f>
        <v>0</v>
      </c>
      <c r="W16" s="13">
        <f>'TR TUSD'!$W$16*'TR TUSD'!$W$60</f>
        <v>0</v>
      </c>
      <c r="X16" s="13">
        <f>'TR TUSD'!$X$16*'TR TUSD'!$X$60</f>
        <v>0</v>
      </c>
      <c r="Y16" s="13">
        <f>'TR TUSD'!$Y$16*'TR TUSD'!$Y$60</f>
        <v>0</v>
      </c>
      <c r="Z16" s="13">
        <f>'TR TUSD'!$Z$16*'TR TUSD'!$Z$60</f>
        <v>0</v>
      </c>
      <c r="AA16" s="13">
        <f>'TR TUSD'!$AA$16*'TR TUSD'!$AA$60</f>
        <v>0</v>
      </c>
      <c r="AB16" s="13">
        <f>SUM($U$16:$AA$16)</f>
        <v>0</v>
      </c>
      <c r="AC16" s="13">
        <f>'TR TUSD'!$AC$16*'TR TUSD'!$AC$60</f>
        <v>28.121590650025649</v>
      </c>
      <c r="AD16" s="13">
        <f>SUM($AC$16:$AC$16)</f>
        <v>28.121590650025649</v>
      </c>
      <c r="AE16" s="13">
        <v>0</v>
      </c>
      <c r="AF16" s="13">
        <v>0</v>
      </c>
      <c r="AG16" s="13">
        <f>SUM($AE$16:$AF$16)</f>
        <v>0</v>
      </c>
      <c r="AH16" s="13">
        <f>'TR TUSD'!$AH$16*'TR TUSD'!$AH$60</f>
        <v>0</v>
      </c>
      <c r="AI16" s="13">
        <f>'TR TUSD'!$AI$16*'TR TUSD'!$AI$60</f>
        <v>0</v>
      </c>
      <c r="AJ16" s="13">
        <f ca="1">'TR TUSD'!$AJ$16*'TR TUSD'!$AJ$60</f>
        <v>0</v>
      </c>
      <c r="AK16" s="13">
        <f ca="1">'TR TUSD'!$AK$16*'TR TUSD'!$AK$60</f>
        <v>0</v>
      </c>
      <c r="AL16" s="13">
        <f ca="1">SUM($AH$16:$AK$16)</f>
        <v>0</v>
      </c>
      <c r="AM16" s="13">
        <f ca="1">SUMIF($L$4:$AL$4,"SUBTOTAL",$L$16:$AL$16)</f>
        <v>28.127068388624124</v>
      </c>
      <c r="AP16" s="13"/>
    </row>
    <row r="17" spans="1:42" ht="11.25" customHeight="1" x14ac:dyDescent="0.25">
      <c r="A17" s="102" t="s">
        <v>22</v>
      </c>
      <c r="B17" s="102" t="s">
        <v>33</v>
      </c>
      <c r="C17" s="102" t="s">
        <v>24</v>
      </c>
      <c r="D17" s="102" t="s">
        <v>24</v>
      </c>
      <c r="E17" s="102" t="s">
        <v>25</v>
      </c>
      <c r="F17" s="102" t="s">
        <v>25</v>
      </c>
      <c r="G17" s="24" t="s">
        <v>67</v>
      </c>
      <c r="H17" s="24" t="s">
        <v>66</v>
      </c>
      <c r="I17" s="24">
        <f>'MERCADO TUSD'!$U$14</f>
        <v>0.22599999999999998</v>
      </c>
      <c r="J17" s="15"/>
      <c r="L17" s="13">
        <f>'TR TUSD'!$L$17*'TR TUSD'!$L$60</f>
        <v>0</v>
      </c>
      <c r="M17" s="13">
        <f>'TR TUSD'!$M$17*'TR TUSD'!$M$60</f>
        <v>2.7365797396916687</v>
      </c>
      <c r="N17" s="13">
        <f ca="1">'TR TUSD'!$N$17*'TR TUSD'!$N$60</f>
        <v>0</v>
      </c>
      <c r="O17" s="13">
        <f>'TR TUSD'!$O$17*'TR TUSD'!$O$60</f>
        <v>0</v>
      </c>
      <c r="P17" s="13">
        <f>'TR TUSD'!$P$17*'TR TUSD'!$P$60</f>
        <v>0</v>
      </c>
      <c r="Q17" s="13">
        <f>'TR TUSD'!$Q$17*'TR TUSD'!$Q$60</f>
        <v>90.638671302241676</v>
      </c>
      <c r="R17" s="13">
        <f>'TR TUSD'!$R$17*'TR TUSD'!$R$60</f>
        <v>14.330975493458187</v>
      </c>
      <c r="S17" s="13">
        <f>'TR TUSD'!$S$17*'TR TUSD'!$S$60</f>
        <v>0</v>
      </c>
      <c r="T17" s="13">
        <f ca="1">SUM($L$17:$S$17)</f>
        <v>107.70622653539152</v>
      </c>
      <c r="U17" s="13">
        <f>'TR TUSD'!$U$17*'TR TUSD'!$U$60</f>
        <v>0</v>
      </c>
      <c r="V17" s="13">
        <f>'TR TUSD'!$V$17*'TR TUSD'!$V$60</f>
        <v>0</v>
      </c>
      <c r="W17" s="13">
        <f>'TR TUSD'!$W$17*'TR TUSD'!$W$60</f>
        <v>0</v>
      </c>
      <c r="X17" s="13">
        <f>'TR TUSD'!$X$17*'TR TUSD'!$X$60</f>
        <v>0</v>
      </c>
      <c r="Y17" s="13">
        <f>'TR TUSD'!$Y$17*'TR TUSD'!$Y$60</f>
        <v>417.63295491264313</v>
      </c>
      <c r="Z17" s="13">
        <f>'TR TUSD'!$Z$17</f>
        <v>0</v>
      </c>
      <c r="AA17" s="13">
        <f>'TR TUSD'!$AA$17</f>
        <v>0</v>
      </c>
      <c r="AB17" s="13">
        <f>SUM($U$17:$AA$17)</f>
        <v>417.63295491264313</v>
      </c>
      <c r="AC17" s="13">
        <f>'TR TUSD'!$AC$17*'TR TUSD'!$AC$60</f>
        <v>1678.2129937074967</v>
      </c>
      <c r="AD17" s="13">
        <f>SUM($AC$17:$AC$17)</f>
        <v>1678.2129937074967</v>
      </c>
      <c r="AE17" s="13">
        <v>0</v>
      </c>
      <c r="AF17" s="13">
        <v>0</v>
      </c>
      <c r="AG17" s="13">
        <f>SUM($AE$17:$AF$17)</f>
        <v>0</v>
      </c>
      <c r="AH17" s="13">
        <f>'TR TUSD'!$AH$17*'TR TUSD'!$AH$60</f>
        <v>24.538663534209668</v>
      </c>
      <c r="AI17" s="13">
        <f>'TR TUSD'!$AI$17*'TR TUSD'!$AI$60</f>
        <v>0</v>
      </c>
      <c r="AJ17" s="13">
        <f ca="1">'TR TUSD'!$AJ$17*'TR TUSD'!$AJ$60</f>
        <v>0</v>
      </c>
      <c r="AK17" s="13">
        <f ca="1">'TR TUSD'!$AK$17*'TR TUSD'!$AK$60</f>
        <v>0</v>
      </c>
      <c r="AL17" s="13">
        <f ca="1">SUM($AH$17:$AK$17)</f>
        <v>24.538663534209668</v>
      </c>
      <c r="AM17" s="13">
        <f ca="1">SUMIF($L$4:$AL$4,"SUBTOTAL",$L$17:$AL$17)</f>
        <v>2228.0908386897413</v>
      </c>
      <c r="AP17" s="13">
        <v>1</v>
      </c>
    </row>
    <row r="18" spans="1:42" ht="11.25" customHeight="1" x14ac:dyDescent="0.25">
      <c r="A18" s="102"/>
      <c r="B18" s="102"/>
      <c r="C18" s="102"/>
      <c r="D18" s="102"/>
      <c r="E18" s="102"/>
      <c r="F18" s="102"/>
      <c r="G18" s="24" t="s">
        <v>80</v>
      </c>
      <c r="H18" s="24" t="s">
        <v>66</v>
      </c>
      <c r="I18" s="24">
        <f>'MERCADO TUSD'!$U$15</f>
        <v>0.29500000000000004</v>
      </c>
      <c r="J18" s="15"/>
      <c r="L18" s="13">
        <f>'TR TUSD'!$L$18*'TR TUSD'!$L$60</f>
        <v>0</v>
      </c>
      <c r="M18" s="13">
        <f>'TR TUSD'!$M$18*'TR TUSD'!$M$60</f>
        <v>2.7365797396916687</v>
      </c>
      <c r="N18" s="13">
        <f ca="1">'TR TUSD'!$N$18*'TR TUSD'!$N$60</f>
        <v>0</v>
      </c>
      <c r="O18" s="13">
        <f>'TR TUSD'!$O$18*'TR TUSD'!$O$60</f>
        <v>0</v>
      </c>
      <c r="P18" s="13">
        <f>'TR TUSD'!$P$18*'TR TUSD'!$P$60</f>
        <v>0</v>
      </c>
      <c r="Q18" s="13">
        <f>'TR TUSD'!$Q$18*'TR TUSD'!$Q$60</f>
        <v>90.638671302241676</v>
      </c>
      <c r="R18" s="13">
        <f>'TR TUSD'!$R$18*'TR TUSD'!$R$60</f>
        <v>14.330975493458187</v>
      </c>
      <c r="S18" s="13">
        <f>'TR TUSD'!$S$18*'TR TUSD'!$S$60</f>
        <v>0</v>
      </c>
      <c r="T18" s="13">
        <f ca="1">SUM($L$18:$S$18)</f>
        <v>107.70622653539152</v>
      </c>
      <c r="U18" s="13">
        <f>'TR TUSD'!$U$18*'TR TUSD'!$U$60</f>
        <v>0</v>
      </c>
      <c r="V18" s="13">
        <f>'TR TUSD'!$V$18*'TR TUSD'!$V$60</f>
        <v>0</v>
      </c>
      <c r="W18" s="13">
        <f>'TR TUSD'!$W$18*'TR TUSD'!$W$60</f>
        <v>0</v>
      </c>
      <c r="X18" s="13">
        <f>'TR TUSD'!$X$18*'TR TUSD'!$X$60</f>
        <v>0</v>
      </c>
      <c r="Y18" s="13">
        <f>'TR TUSD'!$Y$18*'TR TUSD'!$Y$60</f>
        <v>250.54093676470734</v>
      </c>
      <c r="Z18" s="13">
        <f>'TR TUSD'!$Z$18</f>
        <v>0</v>
      </c>
      <c r="AA18" s="13">
        <f>'TR TUSD'!$AA$18</f>
        <v>0</v>
      </c>
      <c r="AB18" s="13">
        <f>SUM($U$18:$AA$18)</f>
        <v>250.54093676470734</v>
      </c>
      <c r="AC18" s="13">
        <f>'TR TUSD'!$AC$18*'TR TUSD'!$AC$60</f>
        <v>1006.9276335940602</v>
      </c>
      <c r="AD18" s="13">
        <f>SUM($AC$18:$AC$18)</f>
        <v>1006.9276335940602</v>
      </c>
      <c r="AE18" s="13">
        <v>0</v>
      </c>
      <c r="AF18" s="13">
        <v>0</v>
      </c>
      <c r="AG18" s="13">
        <f>SUM($AE$18:$AF$18)</f>
        <v>0</v>
      </c>
      <c r="AH18" s="13">
        <f>'TR TUSD'!$AH$18*'TR TUSD'!$AH$60</f>
        <v>24.538663534209668</v>
      </c>
      <c r="AI18" s="13">
        <f>'TR TUSD'!$AI$18*'TR TUSD'!$AI$60</f>
        <v>0</v>
      </c>
      <c r="AJ18" s="13">
        <f ca="1">'TR TUSD'!$AJ$18*'TR TUSD'!$AJ$60</f>
        <v>0</v>
      </c>
      <c r="AK18" s="13">
        <f ca="1">'TR TUSD'!$AK$18*'TR TUSD'!$AK$60</f>
        <v>0</v>
      </c>
      <c r="AL18" s="13">
        <f ca="1">SUM($AH$18:$AK$18)</f>
        <v>24.538663534209668</v>
      </c>
      <c r="AM18" s="13">
        <f ca="1">SUMIF($L$4:$AL$4,"SUBTOTAL",$L$18:$AL$18)</f>
        <v>1389.7134604283688</v>
      </c>
      <c r="AP18" s="13">
        <v>1</v>
      </c>
    </row>
    <row r="19" spans="1:42" ht="11.25" customHeight="1" x14ac:dyDescent="0.25">
      <c r="A19" s="102"/>
      <c r="B19" s="102"/>
      <c r="C19" s="102"/>
      <c r="D19" s="102"/>
      <c r="E19" s="102"/>
      <c r="F19" s="102"/>
      <c r="G19" s="24" t="s">
        <v>68</v>
      </c>
      <c r="H19" s="24" t="s">
        <v>66</v>
      </c>
      <c r="I19" s="24">
        <f>'MERCADO TUSD'!$U$16</f>
        <v>2.2109999999999999</v>
      </c>
      <c r="J19" s="15"/>
      <c r="L19" s="13">
        <f>'TR TUSD'!$L$19*'TR TUSD'!$L$60</f>
        <v>0</v>
      </c>
      <c r="M19" s="13">
        <f>'TR TUSD'!$M$19*'TR TUSD'!$M$60</f>
        <v>2.7365797396916687</v>
      </c>
      <c r="N19" s="13">
        <f ca="1">'TR TUSD'!$N$19*'TR TUSD'!$N$60</f>
        <v>0</v>
      </c>
      <c r="O19" s="13">
        <f>'TR TUSD'!$O$19*'TR TUSD'!$O$60</f>
        <v>0</v>
      </c>
      <c r="P19" s="13">
        <f>'TR TUSD'!$P$19*'TR TUSD'!$P$60</f>
        <v>0</v>
      </c>
      <c r="Q19" s="13">
        <f>'TR TUSD'!$Q$19*'TR TUSD'!$Q$60</f>
        <v>90.638671302241676</v>
      </c>
      <c r="R19" s="13">
        <f>'TR TUSD'!$R$19*'TR TUSD'!$R$60</f>
        <v>14.330975493458187</v>
      </c>
      <c r="S19" s="13">
        <f>'TR TUSD'!$S$19*'TR TUSD'!$S$60</f>
        <v>0</v>
      </c>
      <c r="T19" s="13">
        <f ca="1">SUM($L$19:$S$19)</f>
        <v>107.70622653539152</v>
      </c>
      <c r="U19" s="13">
        <f>'TR TUSD'!$U$19*'TR TUSD'!$U$60</f>
        <v>0</v>
      </c>
      <c r="V19" s="13">
        <f>'TR TUSD'!$V$19*'TR TUSD'!$V$60</f>
        <v>0</v>
      </c>
      <c r="W19" s="13">
        <f>'TR TUSD'!$W$19*'TR TUSD'!$W$60</f>
        <v>0</v>
      </c>
      <c r="X19" s="13">
        <f>'TR TUSD'!$X$19*'TR TUSD'!$X$60</f>
        <v>0</v>
      </c>
      <c r="Y19" s="13">
        <f>'TR TUSD'!$Y$19*'TR TUSD'!$Y$60</f>
        <v>83.513601675772108</v>
      </c>
      <c r="Z19" s="13">
        <f>'TR TUSD'!$Z$19</f>
        <v>0</v>
      </c>
      <c r="AA19" s="13">
        <f>'TR TUSD'!$AA$19</f>
        <v>0</v>
      </c>
      <c r="AB19" s="13">
        <f>SUM($U$19:$AA$19)</f>
        <v>83.513601675772108</v>
      </c>
      <c r="AC19" s="13">
        <f>'TR TUSD'!$AC$19*'TR TUSD'!$AC$60</f>
        <v>335.64238964522212</v>
      </c>
      <c r="AD19" s="13">
        <f>SUM($AC$19:$AC$19)</f>
        <v>335.64238964522212</v>
      </c>
      <c r="AE19" s="13">
        <v>0</v>
      </c>
      <c r="AF19" s="13">
        <v>0</v>
      </c>
      <c r="AG19" s="13">
        <f>SUM($AE$19:$AF$19)</f>
        <v>0</v>
      </c>
      <c r="AH19" s="13">
        <f>'TR TUSD'!$AH$19*'TR TUSD'!$AH$60</f>
        <v>24.538663534209668</v>
      </c>
      <c r="AI19" s="13">
        <f>'TR TUSD'!$AI$19*'TR TUSD'!$AI$60</f>
        <v>0</v>
      </c>
      <c r="AJ19" s="13">
        <f ca="1">'TR TUSD'!$AJ$19*'TR TUSD'!$AJ$60</f>
        <v>0</v>
      </c>
      <c r="AK19" s="13">
        <f ca="1">'TR TUSD'!$AK$19*'TR TUSD'!$AK$60</f>
        <v>0</v>
      </c>
      <c r="AL19" s="13">
        <f ca="1">SUM($AH$19:$AK$19)</f>
        <v>24.538663534209668</v>
      </c>
      <c r="AM19" s="13">
        <f ca="1">SUMIF($L$4:$AL$4,"SUBTOTAL",$L$19:$AL$19)</f>
        <v>551.40088139059549</v>
      </c>
      <c r="AP19" s="13">
        <v>1</v>
      </c>
    </row>
    <row r="20" spans="1:42" ht="11.25" customHeight="1" x14ac:dyDescent="0.25">
      <c r="A20" s="102"/>
      <c r="B20" s="102" t="s">
        <v>23</v>
      </c>
      <c r="C20" s="102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66</v>
      </c>
      <c r="I20" s="24">
        <f>'MERCADO TUSD'!$U$17</f>
        <v>11826.234</v>
      </c>
      <c r="J20" s="15"/>
      <c r="L20" s="13">
        <f>'TR TUSD'!$L$20*'TR TUSD'!$L$60</f>
        <v>0</v>
      </c>
      <c r="M20" s="13">
        <f>'TR TUSD'!$M$20*'TR TUSD'!$M$60</f>
        <v>2.7365797396916687</v>
      </c>
      <c r="N20" s="13">
        <f ca="1">'TR TUSD'!$N$20*'TR TUSD'!$N$60</f>
        <v>0</v>
      </c>
      <c r="O20" s="13">
        <f>'TR TUSD'!$O$20*'TR TUSD'!$O$60</f>
        <v>0</v>
      </c>
      <c r="P20" s="13">
        <f>'TR TUSD'!$P$20*'TR TUSD'!$P$60</f>
        <v>0</v>
      </c>
      <c r="Q20" s="13">
        <f>'TR TUSD'!$Q$20*'TR TUSD'!$Q$60</f>
        <v>90.638671302241676</v>
      </c>
      <c r="R20" s="13">
        <f>'TR TUSD'!$R$20*'TR TUSD'!$R$60</f>
        <v>14.330975493458187</v>
      </c>
      <c r="S20" s="13">
        <f>'TR TUSD'!$S$20*'TR TUSD'!$S$60</f>
        <v>0</v>
      </c>
      <c r="T20" s="13">
        <f ca="1">SUM($L$20:$S$20)</f>
        <v>107.70622653539152</v>
      </c>
      <c r="U20" s="13">
        <f>'TR TUSD'!$U$20*'TR TUSD'!$U$60</f>
        <v>0</v>
      </c>
      <c r="V20" s="13">
        <f>'TR TUSD'!$V$20*'TR TUSD'!$V$60</f>
        <v>0</v>
      </c>
      <c r="W20" s="13">
        <f>'TR TUSD'!$W$20*'TR TUSD'!$W$60</f>
        <v>0</v>
      </c>
      <c r="X20" s="13">
        <f>'TR TUSD'!$X$20*'TR TUSD'!$X$60</f>
        <v>0</v>
      </c>
      <c r="Y20" s="13">
        <f>'TR TUSD'!$Y$20*'TR TUSD'!$Y$60</f>
        <v>144.04495679769556</v>
      </c>
      <c r="Z20" s="13">
        <f>'TR TUSD'!$Z$20</f>
        <v>0</v>
      </c>
      <c r="AA20" s="13">
        <f>'TR TUSD'!$AA$20</f>
        <v>0</v>
      </c>
      <c r="AB20" s="13">
        <f>SUM($U$20:$AA$20)</f>
        <v>144.04495679769556</v>
      </c>
      <c r="AC20" s="13">
        <f>'TR TUSD'!$AC$20*'TR TUSD'!$AC$60</f>
        <v>578.69404363066212</v>
      </c>
      <c r="AD20" s="13">
        <f>SUM($AC$20:$AC$20)</f>
        <v>578.69404363066212</v>
      </c>
      <c r="AE20" s="13">
        <v>0</v>
      </c>
      <c r="AF20" s="13">
        <v>0</v>
      </c>
      <c r="AG20" s="13">
        <f>SUM($AE$20:$AF$20)</f>
        <v>0</v>
      </c>
      <c r="AH20" s="13">
        <f>'TR TUSD'!$AH$20*'TR TUSD'!$AH$60</f>
        <v>24.538663534209668</v>
      </c>
      <c r="AI20" s="13">
        <f>'TR TUSD'!$AI$20*'TR TUSD'!$AI$60</f>
        <v>0</v>
      </c>
      <c r="AJ20" s="13">
        <f ca="1">'TR TUSD'!$AJ$20*'TR TUSD'!$AJ$60</f>
        <v>0</v>
      </c>
      <c r="AK20" s="13">
        <f ca="1">'TR TUSD'!$AK$20*'TR TUSD'!$AK$60</f>
        <v>0</v>
      </c>
      <c r="AL20" s="13">
        <f ca="1">SUM($AH$20:$AK$20)</f>
        <v>24.538663534209668</v>
      </c>
      <c r="AM20" s="13">
        <f ca="1">SUMIF($L$4:$AL$4,"SUBTOTAL",$L$20:$AL$20)</f>
        <v>854.9838904979589</v>
      </c>
      <c r="AP20" s="13">
        <v>1</v>
      </c>
    </row>
    <row r="21" spans="1:42" ht="11.25" customHeight="1" x14ac:dyDescent="0.25">
      <c r="A21" s="102"/>
      <c r="B21" s="102"/>
      <c r="C21" s="102"/>
      <c r="D21" s="23" t="s">
        <v>29</v>
      </c>
      <c r="E21" s="23" t="s">
        <v>25</v>
      </c>
      <c r="F21" s="23" t="s">
        <v>25</v>
      </c>
      <c r="G21" s="24" t="s">
        <v>70</v>
      </c>
      <c r="H21" s="24" t="s">
        <v>66</v>
      </c>
      <c r="I21" s="24">
        <f>'MERCADO TUSD'!$U$18</f>
        <v>111.53999999999999</v>
      </c>
      <c r="J21" s="15"/>
      <c r="L21" s="13">
        <f>'TR TUSD'!$L$21*'TR TUSD'!$L$60</f>
        <v>0</v>
      </c>
      <c r="M21" s="13">
        <f>'TR TUSD'!$M$21*'TR TUSD'!$M$60</f>
        <v>2.7365797396916687</v>
      </c>
      <c r="N21" s="13">
        <f ca="1">'TR TUSD'!$N$21*'TR TUSD'!$N$60</f>
        <v>0</v>
      </c>
      <c r="O21" s="13">
        <f>'TR TUSD'!$O$21*'TR TUSD'!$O$60</f>
        <v>0</v>
      </c>
      <c r="P21" s="13">
        <f>'TR TUSD'!$P$21*'TR TUSD'!$P$60</f>
        <v>0</v>
      </c>
      <c r="Q21" s="13">
        <f>'TR TUSD'!$Q$21*'TR TUSD'!$Q$60</f>
        <v>0</v>
      </c>
      <c r="R21" s="13">
        <f>'TR TUSD'!$R$21*'TR TUSD'!$R$60</f>
        <v>0</v>
      </c>
      <c r="S21" s="13">
        <f>'TR TUSD'!$S$21*'TR TUSD'!$S$60</f>
        <v>0</v>
      </c>
      <c r="T21" s="13">
        <f ca="1">SUM($L$21:$S$21)</f>
        <v>2.7365797396916687</v>
      </c>
      <c r="U21" s="13">
        <f>'TR TUSD'!$U$21*'TR TUSD'!$U$60</f>
        <v>0</v>
      </c>
      <c r="V21" s="13">
        <f>'TR TUSD'!$V$21*'TR TUSD'!$V$60</f>
        <v>0</v>
      </c>
      <c r="W21" s="13">
        <f>'TR TUSD'!$W$21*'TR TUSD'!$W$60</f>
        <v>0</v>
      </c>
      <c r="X21" s="13">
        <f>'TR TUSD'!$X$21*'TR TUSD'!$X$60</f>
        <v>0</v>
      </c>
      <c r="Y21" s="13">
        <f>'TR TUSD'!$Y$21*'TR TUSD'!$Y$60</f>
        <v>144.04495679769556</v>
      </c>
      <c r="Z21" s="13">
        <f>'TR TUSD'!$Z$21</f>
        <v>0</v>
      </c>
      <c r="AA21" s="13">
        <f>'TR TUSD'!$AA$21</f>
        <v>0</v>
      </c>
      <c r="AB21" s="13">
        <f>SUM($U$21:$AA$21)</f>
        <v>144.04495679769556</v>
      </c>
      <c r="AC21" s="13">
        <f>'TR TUSD'!$AC$21*'TR TUSD'!$AC$60</f>
        <v>578.69404363066212</v>
      </c>
      <c r="AD21" s="13">
        <f>SUM($AC$21:$AC$21)</f>
        <v>578.69404363066212</v>
      </c>
      <c r="AE21" s="13">
        <v>0</v>
      </c>
      <c r="AF21" s="13">
        <v>0</v>
      </c>
      <c r="AG21" s="13">
        <f>SUM($AE$21:$AF$21)</f>
        <v>0</v>
      </c>
      <c r="AH21" s="13">
        <f>'TR TUSD'!$AH$21*'TR TUSD'!$AH$60</f>
        <v>24.538663534209668</v>
      </c>
      <c r="AI21" s="13">
        <f>'TR TUSD'!$AI$21*'TR TUSD'!$AI$60</f>
        <v>0</v>
      </c>
      <c r="AJ21" s="13">
        <f ca="1">'TR TUSD'!$AJ$21*'TR TUSD'!$AJ$60</f>
        <v>0</v>
      </c>
      <c r="AK21" s="13">
        <f ca="1">'TR TUSD'!$AK$21*'TR TUSD'!$AK$60</f>
        <v>0</v>
      </c>
      <c r="AL21" s="13">
        <f ca="1">SUM($AH$21:$AK$21)</f>
        <v>24.538663534209668</v>
      </c>
      <c r="AM21" s="13">
        <f ca="1">SUMIF($L$4:$AL$4,"SUBTOTAL",$L$21:$AL$21)</f>
        <v>750.01424370225914</v>
      </c>
      <c r="AP21" s="13">
        <f>IF((1 - CUSTOS!$M$24)&lt;&gt;0,1/(1 - CUSTOS!$M$24),1)</f>
        <v>1</v>
      </c>
    </row>
    <row r="22" spans="1:42" ht="11.25" customHeight="1" x14ac:dyDescent="0.25">
      <c r="A22" s="102"/>
      <c r="B22" s="102"/>
      <c r="C22" s="102"/>
      <c r="D22" s="23" t="s">
        <v>30</v>
      </c>
      <c r="E22" s="23" t="s">
        <v>25</v>
      </c>
      <c r="F22" s="23" t="s">
        <v>25</v>
      </c>
      <c r="G22" s="24" t="s">
        <v>70</v>
      </c>
      <c r="H22" s="24" t="s">
        <v>66</v>
      </c>
      <c r="I22" s="24">
        <f>'MERCADO TUSD'!$U$19</f>
        <v>220.67500000000001</v>
      </c>
      <c r="J22" s="15"/>
      <c r="L22" s="13">
        <f>'TR TUSD'!$L$22*'TR TUSD'!$L$60</f>
        <v>0</v>
      </c>
      <c r="M22" s="13">
        <f>'TR TUSD'!$M$22*'TR TUSD'!$M$60</f>
        <v>2.7365797396916687</v>
      </c>
      <c r="N22" s="13">
        <f ca="1">'TR TUSD'!$N$22*'TR TUSD'!$N$60</f>
        <v>0</v>
      </c>
      <c r="O22" s="13">
        <f>'TR TUSD'!$O$22*'TR TUSD'!$O$60</f>
        <v>0</v>
      </c>
      <c r="P22" s="13">
        <f>'TR TUSD'!$P$22*'TR TUSD'!$P$60</f>
        <v>0</v>
      </c>
      <c r="Q22" s="13">
        <f>'TR TUSD'!$Q$22*'TR TUSD'!$Q$60</f>
        <v>0</v>
      </c>
      <c r="R22" s="13">
        <f>'TR TUSD'!$R$22*'TR TUSD'!$R$60</f>
        <v>0</v>
      </c>
      <c r="S22" s="13">
        <f>'TR TUSD'!$S$22*'TR TUSD'!$S$60</f>
        <v>0</v>
      </c>
      <c r="T22" s="13">
        <f ca="1">SUM($L$22:$S$22)</f>
        <v>2.7365797396916687</v>
      </c>
      <c r="U22" s="13">
        <f>'TR TUSD'!$U$22*'TR TUSD'!$U$60</f>
        <v>0</v>
      </c>
      <c r="V22" s="13">
        <f>'TR TUSD'!$V$22*'TR TUSD'!$V$60</f>
        <v>0</v>
      </c>
      <c r="W22" s="13">
        <f>'TR TUSD'!$W$22*'TR TUSD'!$W$60</f>
        <v>0</v>
      </c>
      <c r="X22" s="13">
        <f>'TR TUSD'!$X$22*'TR TUSD'!$X$60</f>
        <v>0</v>
      </c>
      <c r="Y22" s="13">
        <f>'TR TUSD'!$Y$22*'TR TUSD'!$Y$60</f>
        <v>144.04495679769556</v>
      </c>
      <c r="Z22" s="13">
        <f>'TR TUSD'!$Z$22</f>
        <v>0</v>
      </c>
      <c r="AA22" s="13">
        <f>'TR TUSD'!$AA$22</f>
        <v>0</v>
      </c>
      <c r="AB22" s="13">
        <f>SUM($U$22:$AA$22)</f>
        <v>144.04495679769556</v>
      </c>
      <c r="AC22" s="13">
        <f>'TR TUSD'!$AC$22*'TR TUSD'!$AC$60</f>
        <v>578.69404363066212</v>
      </c>
      <c r="AD22" s="13">
        <f>SUM($AC$22:$AC$22)</f>
        <v>578.69404363066212</v>
      </c>
      <c r="AE22" s="13">
        <v>0</v>
      </c>
      <c r="AF22" s="13">
        <v>0</v>
      </c>
      <c r="AG22" s="13">
        <f>SUM($AE$22:$AF$22)</f>
        <v>0</v>
      </c>
      <c r="AH22" s="13">
        <f>'TR TUSD'!$AH$22*'TR TUSD'!$AH$60</f>
        <v>24.538663534209668</v>
      </c>
      <c r="AI22" s="13">
        <f>'TR TUSD'!$AI$22*'TR TUSD'!$AI$60</f>
        <v>0</v>
      </c>
      <c r="AJ22" s="13">
        <f ca="1">'TR TUSD'!$AJ$22*'TR TUSD'!$AJ$60</f>
        <v>0</v>
      </c>
      <c r="AK22" s="13">
        <f ca="1">'TR TUSD'!$AK$22*'TR TUSD'!$AK$60</f>
        <v>0</v>
      </c>
      <c r="AL22" s="13">
        <f ca="1">SUM($AH$22:$AK$22)</f>
        <v>24.538663534209668</v>
      </c>
      <c r="AM22" s="13">
        <f ca="1">SUMIF($L$4:$AL$4,"SUBTOTAL",$L$22:$AL$22)</f>
        <v>750.01424370225914</v>
      </c>
      <c r="AP22" s="13">
        <f>IF((1 - CUSTOS!$M$25)&lt;&gt;0,1/(1 - CUSTOS!$M$25),1)</f>
        <v>1</v>
      </c>
    </row>
    <row r="23" spans="1:42" ht="11.25" customHeight="1" x14ac:dyDescent="0.25">
      <c r="A23" s="102"/>
      <c r="B23" s="102"/>
      <c r="C23" s="102"/>
      <c r="D23" s="23" t="s">
        <v>31</v>
      </c>
      <c r="E23" s="23" t="s">
        <v>25</v>
      </c>
      <c r="F23" s="23" t="s">
        <v>25</v>
      </c>
      <c r="G23" s="24" t="s">
        <v>70</v>
      </c>
      <c r="H23" s="24" t="s">
        <v>66</v>
      </c>
      <c r="I23" s="24">
        <f>'MERCADO TUSD'!$U$20</f>
        <v>205.22700000000003</v>
      </c>
      <c r="J23" s="15"/>
      <c r="L23" s="13">
        <f>'TR TUSD'!$L$23*'TR TUSD'!$L$60</f>
        <v>0</v>
      </c>
      <c r="M23" s="13">
        <f>'TR TUSD'!$M$23*'TR TUSD'!$M$60</f>
        <v>2.7365797396916687</v>
      </c>
      <c r="N23" s="13">
        <f ca="1">'TR TUSD'!$N$23*'TR TUSD'!$N$60</f>
        <v>0</v>
      </c>
      <c r="O23" s="13">
        <f>'TR TUSD'!$O$23*'TR TUSD'!$O$60</f>
        <v>0</v>
      </c>
      <c r="P23" s="13">
        <f>'TR TUSD'!$P$23*'TR TUSD'!$P$60</f>
        <v>0</v>
      </c>
      <c r="Q23" s="13">
        <f>'TR TUSD'!$Q$23*'TR TUSD'!$Q$60</f>
        <v>0</v>
      </c>
      <c r="R23" s="13">
        <f>'TR TUSD'!$R$23*'TR TUSD'!$R$60</f>
        <v>0</v>
      </c>
      <c r="S23" s="13">
        <f>'TR TUSD'!$S$23*'TR TUSD'!$S$60</f>
        <v>0</v>
      </c>
      <c r="T23" s="13">
        <f ca="1">SUM($L$23:$S$23)</f>
        <v>2.7365797396916687</v>
      </c>
      <c r="U23" s="13">
        <f>'TR TUSD'!$U$23*'TR TUSD'!$U$60</f>
        <v>0</v>
      </c>
      <c r="V23" s="13">
        <f>'TR TUSD'!$V$23*'TR TUSD'!$V$60</f>
        <v>0</v>
      </c>
      <c r="W23" s="13">
        <f>'TR TUSD'!$W$23*'TR TUSD'!$W$60</f>
        <v>0</v>
      </c>
      <c r="X23" s="13">
        <f>'TR TUSD'!$X$23*'TR TUSD'!$X$60</f>
        <v>0</v>
      </c>
      <c r="Y23" s="13">
        <f>'TR TUSD'!$Y$23*'TR TUSD'!$Y$60</f>
        <v>144.04495679769556</v>
      </c>
      <c r="Z23" s="13">
        <f>'TR TUSD'!$Z$23</f>
        <v>0</v>
      </c>
      <c r="AA23" s="13">
        <f>'TR TUSD'!$AA$23</f>
        <v>0</v>
      </c>
      <c r="AB23" s="13">
        <f>SUM($U$23:$AA$23)</f>
        <v>144.04495679769556</v>
      </c>
      <c r="AC23" s="13">
        <f>'TR TUSD'!$AC$23*'TR TUSD'!$AC$60</f>
        <v>578.69404363066212</v>
      </c>
      <c r="AD23" s="13">
        <f>SUM($AC$23:$AC$23)</f>
        <v>578.69404363066212</v>
      </c>
      <c r="AE23" s="13">
        <v>0</v>
      </c>
      <c r="AF23" s="13">
        <v>0</v>
      </c>
      <c r="AG23" s="13">
        <f>SUM($AE$23:$AF$23)</f>
        <v>0</v>
      </c>
      <c r="AH23" s="13">
        <f>'TR TUSD'!$AH$23*'TR TUSD'!$AH$60</f>
        <v>24.538663534209668</v>
      </c>
      <c r="AI23" s="13">
        <f>'TR TUSD'!$AI$23*'TR TUSD'!$AI$60</f>
        <v>0</v>
      </c>
      <c r="AJ23" s="13">
        <f ca="1">'TR TUSD'!$AJ$23*'TR TUSD'!$AJ$60</f>
        <v>0</v>
      </c>
      <c r="AK23" s="13">
        <f ca="1">'TR TUSD'!$AK$23*'TR TUSD'!$AK$60</f>
        <v>0</v>
      </c>
      <c r="AL23" s="13">
        <f ca="1">SUM($AH$23:$AK$23)</f>
        <v>24.538663534209668</v>
      </c>
      <c r="AM23" s="13">
        <f ca="1">SUMIF($L$4:$AL$4,"SUBTOTAL",$L$23:$AL$23)</f>
        <v>750.01424370225914</v>
      </c>
      <c r="AP23" s="13">
        <f>IF((1 - CUSTOS!$M$26)&lt;&gt;0,1/(1 - CUSTOS!$M$26),1)</f>
        <v>1</v>
      </c>
    </row>
    <row r="24" spans="1:42" ht="11.25" customHeight="1" x14ac:dyDescent="0.25">
      <c r="A24" s="102"/>
      <c r="B24" s="102"/>
      <c r="C24" s="102"/>
      <c r="D24" s="23" t="s">
        <v>32</v>
      </c>
      <c r="E24" s="23" t="s">
        <v>25</v>
      </c>
      <c r="F24" s="23" t="s">
        <v>25</v>
      </c>
      <c r="G24" s="24" t="s">
        <v>70</v>
      </c>
      <c r="H24" s="24" t="s">
        <v>66</v>
      </c>
      <c r="I24" s="24">
        <f>'MERCADO TUSD'!$U$21</f>
        <v>75.31</v>
      </c>
      <c r="J24" s="15"/>
      <c r="L24" s="13">
        <f>'TR TUSD'!$L$24*'TR TUSD'!$L$60</f>
        <v>0</v>
      </c>
      <c r="M24" s="13">
        <f>'TR TUSD'!$M$24*'TR TUSD'!$M$60</f>
        <v>2.7365797396916687</v>
      </c>
      <c r="N24" s="13">
        <f ca="1">'TR TUSD'!$N$24*'TR TUSD'!$N$60</f>
        <v>0</v>
      </c>
      <c r="O24" s="13">
        <f>'TR TUSD'!$O$24*'TR TUSD'!$O$60</f>
        <v>0</v>
      </c>
      <c r="P24" s="13">
        <f>'TR TUSD'!$P$24*'TR TUSD'!$P$60</f>
        <v>0</v>
      </c>
      <c r="Q24" s="13">
        <f>'TR TUSD'!$Q$24*'TR TUSD'!$Q$60</f>
        <v>0</v>
      </c>
      <c r="R24" s="13">
        <f>'TR TUSD'!$R$24*'TR TUSD'!$R$60</f>
        <v>0</v>
      </c>
      <c r="S24" s="13">
        <f>'TR TUSD'!$S$24*'TR TUSD'!$S$60</f>
        <v>0</v>
      </c>
      <c r="T24" s="13">
        <f ca="1">SUM($L$24:$S$24)</f>
        <v>2.7365797396916687</v>
      </c>
      <c r="U24" s="13">
        <f>'TR TUSD'!$U$24*'TR TUSD'!$U$60</f>
        <v>0</v>
      </c>
      <c r="V24" s="13">
        <f>'TR TUSD'!$V$24*'TR TUSD'!$V$60</f>
        <v>0</v>
      </c>
      <c r="W24" s="13">
        <f>'TR TUSD'!$W$24*'TR TUSD'!$W$60</f>
        <v>0</v>
      </c>
      <c r="X24" s="13">
        <f>'TR TUSD'!$X$24*'TR TUSD'!$X$60</f>
        <v>0</v>
      </c>
      <c r="Y24" s="13">
        <f>'TR TUSD'!$Y$24*'TR TUSD'!$Y$60</f>
        <v>144.04495679769556</v>
      </c>
      <c r="Z24" s="13">
        <f>'TR TUSD'!$Z$24</f>
        <v>0</v>
      </c>
      <c r="AA24" s="13">
        <f>'TR TUSD'!$AA$24</f>
        <v>0</v>
      </c>
      <c r="AB24" s="13">
        <f>SUM($U$24:$AA$24)</f>
        <v>144.04495679769556</v>
      </c>
      <c r="AC24" s="13">
        <f>'TR TUSD'!$AC$24*'TR TUSD'!$AC$60</f>
        <v>578.69404363066212</v>
      </c>
      <c r="AD24" s="13">
        <f>SUM($AC$24:$AC$24)</f>
        <v>578.69404363066212</v>
      </c>
      <c r="AE24" s="13">
        <v>0</v>
      </c>
      <c r="AF24" s="13">
        <v>0</v>
      </c>
      <c r="AG24" s="13">
        <f>SUM($AE$24:$AF$24)</f>
        <v>0</v>
      </c>
      <c r="AH24" s="13">
        <f>'TR TUSD'!$AH$24*'TR TUSD'!$AH$60</f>
        <v>24.538663534209668</v>
      </c>
      <c r="AI24" s="13">
        <f>'TR TUSD'!$AI$24*'TR TUSD'!$AI$60</f>
        <v>0</v>
      </c>
      <c r="AJ24" s="13">
        <f ca="1">'TR TUSD'!$AJ$24*'TR TUSD'!$AJ$60</f>
        <v>0</v>
      </c>
      <c r="AK24" s="13">
        <f ca="1">'TR TUSD'!$AK$24*'TR TUSD'!$AK$60</f>
        <v>0</v>
      </c>
      <c r="AL24" s="13">
        <f ca="1">SUM($AH$24:$AK$24)</f>
        <v>24.538663534209668</v>
      </c>
      <c r="AM24" s="13">
        <f ca="1">SUMIF($L$4:$AL$4,"SUBTOTAL",$L$24:$AL$24)</f>
        <v>750.01424370225914</v>
      </c>
      <c r="AP24" s="13">
        <f>IF((1 - CUSTOS!$M$27)&lt;&gt;0,1/(1 - CUSTOS!$M$27),1)</f>
        <v>1</v>
      </c>
    </row>
    <row r="25" spans="1:42" ht="11.25" customHeight="1" x14ac:dyDescent="0.25">
      <c r="A25" s="102"/>
      <c r="B25" s="102" t="s">
        <v>82</v>
      </c>
      <c r="C25" s="102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66</v>
      </c>
      <c r="I25" s="24">
        <f>'MERCADO TUSD'!$U$22</f>
        <v>0</v>
      </c>
      <c r="J25" s="15"/>
      <c r="L25" s="13">
        <f>'TR TUSD'!$L$25*'TR TUSD'!$L$60</f>
        <v>0</v>
      </c>
      <c r="M25" s="13">
        <f>'TR TUSD'!$M$25*'TR TUSD'!$M$60</f>
        <v>2.7365797396916687</v>
      </c>
      <c r="N25" s="13">
        <f ca="1">'TR TUSD'!$N$25*'TR TUSD'!$N$60</f>
        <v>0</v>
      </c>
      <c r="O25" s="13">
        <f>'TR TUSD'!$O$25*'TR TUSD'!$O$60</f>
        <v>0</v>
      </c>
      <c r="P25" s="13">
        <f>'TR TUSD'!$P$25*'TR TUSD'!$P$60</f>
        <v>0</v>
      </c>
      <c r="Q25" s="13">
        <f>'TR TUSD'!$Q$25*'TR TUSD'!$Q$60</f>
        <v>90.638671302241676</v>
      </c>
      <c r="R25" s="13">
        <f>'TR TUSD'!$R$25*'TR TUSD'!$R$60</f>
        <v>14.330975493458187</v>
      </c>
      <c r="S25" s="13">
        <f>'TR TUSD'!$S$25*'TR TUSD'!$S$60</f>
        <v>0</v>
      </c>
      <c r="T25" s="13">
        <f ca="1">SUM($L$25:$S$25)</f>
        <v>107.70622653539152</v>
      </c>
      <c r="U25" s="13">
        <f>'TR TUSD'!$U$25*'TR TUSD'!$U$60</f>
        <v>0</v>
      </c>
      <c r="V25" s="13">
        <f>'TR TUSD'!$V$25*'TR TUSD'!$V$60</f>
        <v>0</v>
      </c>
      <c r="W25" s="13">
        <f>'TR TUSD'!$W$25*'TR TUSD'!$W$60</f>
        <v>0</v>
      </c>
      <c r="X25" s="13">
        <f>'TR TUSD'!$X$25*'TR TUSD'!$X$60</f>
        <v>0</v>
      </c>
      <c r="Y25" s="13">
        <f>'TR TUSD'!$Y$25*'TR TUSD'!$Y$60</f>
        <v>144.04495679769556</v>
      </c>
      <c r="Z25" s="13">
        <f>'TR TUSD'!$Z$25</f>
        <v>0</v>
      </c>
      <c r="AA25" s="13">
        <f>'TR TUSD'!$AA$25</f>
        <v>0</v>
      </c>
      <c r="AB25" s="13">
        <f>SUM($U$25:$AA$25)</f>
        <v>144.04495679769556</v>
      </c>
      <c r="AC25" s="13">
        <f>'TR TUSD'!$AC$25*'TR TUSD'!$AC$60</f>
        <v>578.69404363066212</v>
      </c>
      <c r="AD25" s="13">
        <f>SUM($AC$25:$AC$25)</f>
        <v>578.69404363066212</v>
      </c>
      <c r="AE25" s="13">
        <v>0</v>
      </c>
      <c r="AF25" s="13">
        <v>0</v>
      </c>
      <c r="AG25" s="13">
        <f>SUM($AE$25:$AF$25)</f>
        <v>0</v>
      </c>
      <c r="AH25" s="13">
        <f>'TR TUSD'!$AH$25*'TR TUSD'!$AH$60</f>
        <v>24.538663534209668</v>
      </c>
      <c r="AI25" s="13">
        <f>'TR TUSD'!$AI$25*'TR TUSD'!$AI$60</f>
        <v>0</v>
      </c>
      <c r="AJ25" s="13">
        <f ca="1">'TR TUSD'!$AJ$25*'TR TUSD'!$AJ$60</f>
        <v>0</v>
      </c>
      <c r="AK25" s="13">
        <f ca="1">'TR TUSD'!$AK$25*'TR TUSD'!$AK$60</f>
        <v>0</v>
      </c>
      <c r="AL25" s="13">
        <f ca="1">SUM($AH$25:$AK$25)</f>
        <v>24.538663534209668</v>
      </c>
      <c r="AM25" s="13">
        <f ca="1">SUMIF($L$4:$AL$4,"SUBTOTAL",$L$25:$AL$25)</f>
        <v>854.9838904979589</v>
      </c>
      <c r="AP25" s="13">
        <v>1</v>
      </c>
    </row>
    <row r="26" spans="1:42" ht="11.25" customHeight="1" x14ac:dyDescent="0.25">
      <c r="A26" s="102"/>
      <c r="B26" s="102"/>
      <c r="C26" s="102"/>
      <c r="D26" s="23" t="s">
        <v>29</v>
      </c>
      <c r="E26" s="23" t="s">
        <v>25</v>
      </c>
      <c r="F26" s="23" t="s">
        <v>25</v>
      </c>
      <c r="G26" s="24" t="s">
        <v>70</v>
      </c>
      <c r="H26" s="24" t="s">
        <v>66</v>
      </c>
      <c r="I26" s="24">
        <f>'MERCADO TUSD'!$U$23</f>
        <v>0</v>
      </c>
      <c r="J26" s="15"/>
      <c r="L26" s="13">
        <f>'TR TUSD'!$L$26*'TR TUSD'!$L$60</f>
        <v>0</v>
      </c>
      <c r="M26" s="13">
        <f>'TR TUSD'!$M$26*'TR TUSD'!$M$60</f>
        <v>2.7365797396916687</v>
      </c>
      <c r="N26" s="13">
        <f ca="1">'TR TUSD'!$N$26*'TR TUSD'!$N$60</f>
        <v>0</v>
      </c>
      <c r="O26" s="13">
        <f>'TR TUSD'!$O$26*'TR TUSD'!$O$60</f>
        <v>0</v>
      </c>
      <c r="P26" s="13">
        <f>'TR TUSD'!$P$26*'TR TUSD'!$P$60</f>
        <v>0</v>
      </c>
      <c r="Q26" s="13">
        <f>'TR TUSD'!$Q$26*'TR TUSD'!$Q$60</f>
        <v>0</v>
      </c>
      <c r="R26" s="13">
        <f>'TR TUSD'!$R$26*'TR TUSD'!$R$60</f>
        <v>0</v>
      </c>
      <c r="S26" s="13">
        <f>'TR TUSD'!$S$26*'TR TUSD'!$S$60</f>
        <v>0</v>
      </c>
      <c r="T26" s="13">
        <f ca="1">SUM($L$26:$S$26)</f>
        <v>2.7365797396916687</v>
      </c>
      <c r="U26" s="13">
        <f>'TR TUSD'!$U$26*'TR TUSD'!$U$60</f>
        <v>0</v>
      </c>
      <c r="V26" s="13">
        <f>'TR TUSD'!$V$26*'TR TUSD'!$V$60</f>
        <v>0</v>
      </c>
      <c r="W26" s="13">
        <f>'TR TUSD'!$W$26*'TR TUSD'!$W$60</f>
        <v>0</v>
      </c>
      <c r="X26" s="13">
        <f>'TR TUSD'!$X$26*'TR TUSD'!$X$60</f>
        <v>0</v>
      </c>
      <c r="Y26" s="13">
        <f>'TR TUSD'!$Y$26*'TR TUSD'!$Y$60</f>
        <v>144.04495679769556</v>
      </c>
      <c r="Z26" s="13">
        <f>'TR TUSD'!$Z$26</f>
        <v>0</v>
      </c>
      <c r="AA26" s="13">
        <f>'TR TUSD'!$AA$26</f>
        <v>0</v>
      </c>
      <c r="AB26" s="13">
        <f>SUM($U$26:$AA$26)</f>
        <v>144.04495679769556</v>
      </c>
      <c r="AC26" s="13">
        <f>'TR TUSD'!$AC$26*'TR TUSD'!$AC$60</f>
        <v>578.69404363066212</v>
      </c>
      <c r="AD26" s="13">
        <f>SUM($AC$26:$AC$26)</f>
        <v>578.69404363066212</v>
      </c>
      <c r="AE26" s="13">
        <v>0</v>
      </c>
      <c r="AF26" s="13">
        <v>0</v>
      </c>
      <c r="AG26" s="13">
        <f>SUM($AE$26:$AF$26)</f>
        <v>0</v>
      </c>
      <c r="AH26" s="13">
        <f>'TR TUSD'!$AH$26*'TR TUSD'!$AH$60</f>
        <v>24.538663534209668</v>
      </c>
      <c r="AI26" s="13">
        <f>'TR TUSD'!$AI$26*'TR TUSD'!$AI$60</f>
        <v>0</v>
      </c>
      <c r="AJ26" s="13">
        <f ca="1">'TR TUSD'!$AJ$26*'TR TUSD'!$AJ$60</f>
        <v>0</v>
      </c>
      <c r="AK26" s="13">
        <f ca="1">'TR TUSD'!$AK$26*'TR TUSD'!$AK$60</f>
        <v>0</v>
      </c>
      <c r="AL26" s="13">
        <f ca="1">SUM($AH$26:$AK$26)</f>
        <v>24.538663534209668</v>
      </c>
      <c r="AM26" s="13">
        <f ca="1">SUMIF($L$4:$AL$4,"SUBTOTAL",$L$26:$AL$26)</f>
        <v>750.01424370225914</v>
      </c>
      <c r="AP26" s="13">
        <f>IF((1 - CUSTOS!$M$24)&lt;&gt;0,1/(1 - CUSTOS!$M$24),1)</f>
        <v>1</v>
      </c>
    </row>
    <row r="27" spans="1:42" ht="11.25" customHeight="1" x14ac:dyDescent="0.25">
      <c r="A27" s="102"/>
      <c r="B27" s="102"/>
      <c r="C27" s="102"/>
      <c r="D27" s="23" t="s">
        <v>30</v>
      </c>
      <c r="E27" s="23" t="s">
        <v>25</v>
      </c>
      <c r="F27" s="23" t="s">
        <v>25</v>
      </c>
      <c r="G27" s="24" t="s">
        <v>70</v>
      </c>
      <c r="H27" s="24" t="s">
        <v>66</v>
      </c>
      <c r="I27" s="24">
        <f>'MERCADO TUSD'!$U$24</f>
        <v>0</v>
      </c>
      <c r="J27" s="15"/>
      <c r="L27" s="13">
        <f>'TR TUSD'!$L$27*'TR TUSD'!$L$60</f>
        <v>0</v>
      </c>
      <c r="M27" s="13">
        <f>'TR TUSD'!$M$27*'TR TUSD'!$M$60</f>
        <v>2.7365797396916687</v>
      </c>
      <c r="N27" s="13">
        <f ca="1">'TR TUSD'!$N$27*'TR TUSD'!$N$60</f>
        <v>0</v>
      </c>
      <c r="O27" s="13">
        <f>'TR TUSD'!$O$27*'TR TUSD'!$O$60</f>
        <v>0</v>
      </c>
      <c r="P27" s="13">
        <f>'TR TUSD'!$P$27*'TR TUSD'!$P$60</f>
        <v>0</v>
      </c>
      <c r="Q27" s="13">
        <f>'TR TUSD'!$Q$27*'TR TUSD'!$Q$60</f>
        <v>0</v>
      </c>
      <c r="R27" s="13">
        <f>'TR TUSD'!$R$27*'TR TUSD'!$R$60</f>
        <v>0</v>
      </c>
      <c r="S27" s="13">
        <f>'TR TUSD'!$S$27*'TR TUSD'!$S$60</f>
        <v>0</v>
      </c>
      <c r="T27" s="13">
        <f ca="1">SUM($L$27:$S$27)</f>
        <v>2.7365797396916687</v>
      </c>
      <c r="U27" s="13">
        <f>'TR TUSD'!$U$27*'TR TUSD'!$U$60</f>
        <v>0</v>
      </c>
      <c r="V27" s="13">
        <f>'TR TUSD'!$V$27*'TR TUSD'!$V$60</f>
        <v>0</v>
      </c>
      <c r="W27" s="13">
        <f>'TR TUSD'!$W$27*'TR TUSD'!$W$60</f>
        <v>0</v>
      </c>
      <c r="X27" s="13">
        <f>'TR TUSD'!$X$27*'TR TUSD'!$X$60</f>
        <v>0</v>
      </c>
      <c r="Y27" s="13">
        <f>'TR TUSD'!$Y$27*'TR TUSD'!$Y$60</f>
        <v>144.04495679769556</v>
      </c>
      <c r="Z27" s="13">
        <f>'TR TUSD'!$Z$27</f>
        <v>0</v>
      </c>
      <c r="AA27" s="13">
        <f>'TR TUSD'!$AA$27</f>
        <v>0</v>
      </c>
      <c r="AB27" s="13">
        <f>SUM($U$27:$AA$27)</f>
        <v>144.04495679769556</v>
      </c>
      <c r="AC27" s="13">
        <f>'TR TUSD'!$AC$27*'TR TUSD'!$AC$60</f>
        <v>578.69404363066212</v>
      </c>
      <c r="AD27" s="13">
        <f>SUM($AC$27:$AC$27)</f>
        <v>578.69404363066212</v>
      </c>
      <c r="AE27" s="13">
        <v>0</v>
      </c>
      <c r="AF27" s="13">
        <v>0</v>
      </c>
      <c r="AG27" s="13">
        <f>SUM($AE$27:$AF$27)</f>
        <v>0</v>
      </c>
      <c r="AH27" s="13">
        <f>'TR TUSD'!$AH$27*'TR TUSD'!$AH$60</f>
        <v>24.538663534209668</v>
      </c>
      <c r="AI27" s="13">
        <f>'TR TUSD'!$AI$27*'TR TUSD'!$AI$60</f>
        <v>0</v>
      </c>
      <c r="AJ27" s="13">
        <f ca="1">'TR TUSD'!$AJ$27*'TR TUSD'!$AJ$60</f>
        <v>0</v>
      </c>
      <c r="AK27" s="13">
        <f ca="1">'TR TUSD'!$AK$27*'TR TUSD'!$AK$60</f>
        <v>0</v>
      </c>
      <c r="AL27" s="13">
        <f ca="1">SUM($AH$27:$AK$27)</f>
        <v>24.538663534209668</v>
      </c>
      <c r="AM27" s="13">
        <f ca="1">SUMIF($L$4:$AL$4,"SUBTOTAL",$L$27:$AL$27)</f>
        <v>750.01424370225914</v>
      </c>
      <c r="AP27" s="13">
        <f>IF((1 - CUSTOS!$M$25)&lt;&gt;0,1/(1 - CUSTOS!$M$25),1)</f>
        <v>1</v>
      </c>
    </row>
    <row r="28" spans="1:42" ht="11.25" customHeight="1" x14ac:dyDescent="0.25">
      <c r="A28" s="102"/>
      <c r="B28" s="102"/>
      <c r="C28" s="102"/>
      <c r="D28" s="23" t="s">
        <v>31</v>
      </c>
      <c r="E28" s="23" t="s">
        <v>25</v>
      </c>
      <c r="F28" s="23" t="s">
        <v>25</v>
      </c>
      <c r="G28" s="24" t="s">
        <v>70</v>
      </c>
      <c r="H28" s="24" t="s">
        <v>66</v>
      </c>
      <c r="I28" s="24">
        <f>'MERCADO TUSD'!$U$25</f>
        <v>0</v>
      </c>
      <c r="J28" s="15"/>
      <c r="L28" s="13">
        <f>'TR TUSD'!$L$28*'TR TUSD'!$L$60</f>
        <v>0</v>
      </c>
      <c r="M28" s="13">
        <f>'TR TUSD'!$M$28*'TR TUSD'!$M$60</f>
        <v>2.7365797396916687</v>
      </c>
      <c r="N28" s="13">
        <f ca="1">'TR TUSD'!$N$28*'TR TUSD'!$N$60</f>
        <v>0</v>
      </c>
      <c r="O28" s="13">
        <f>'TR TUSD'!$O$28*'TR TUSD'!$O$60</f>
        <v>0</v>
      </c>
      <c r="P28" s="13">
        <f>'TR TUSD'!$P$28*'TR TUSD'!$P$60</f>
        <v>0</v>
      </c>
      <c r="Q28" s="13">
        <f>'TR TUSD'!$Q$28*'TR TUSD'!$Q$60</f>
        <v>0</v>
      </c>
      <c r="R28" s="13">
        <f>'TR TUSD'!$R$28*'TR TUSD'!$R$60</f>
        <v>0</v>
      </c>
      <c r="S28" s="13">
        <f>'TR TUSD'!$S$28*'TR TUSD'!$S$60</f>
        <v>0</v>
      </c>
      <c r="T28" s="13">
        <f ca="1">SUM($L$28:$S$28)</f>
        <v>2.7365797396916687</v>
      </c>
      <c r="U28" s="13">
        <f>'TR TUSD'!$U$28*'TR TUSD'!$U$60</f>
        <v>0</v>
      </c>
      <c r="V28" s="13">
        <f>'TR TUSD'!$V$28*'TR TUSD'!$V$60</f>
        <v>0</v>
      </c>
      <c r="W28" s="13">
        <f>'TR TUSD'!$W$28*'TR TUSD'!$W$60</f>
        <v>0</v>
      </c>
      <c r="X28" s="13">
        <f>'TR TUSD'!$X$28*'TR TUSD'!$X$60</f>
        <v>0</v>
      </c>
      <c r="Y28" s="13">
        <f>'TR TUSD'!$Y$28*'TR TUSD'!$Y$60</f>
        <v>144.04495679769556</v>
      </c>
      <c r="Z28" s="13">
        <f>'TR TUSD'!$Z$28</f>
        <v>0</v>
      </c>
      <c r="AA28" s="13">
        <f>'TR TUSD'!$AA$28</f>
        <v>0</v>
      </c>
      <c r="AB28" s="13">
        <f>SUM($U$28:$AA$28)</f>
        <v>144.04495679769556</v>
      </c>
      <c r="AC28" s="13">
        <f>'TR TUSD'!$AC$28*'TR TUSD'!$AC$60</f>
        <v>578.69404363066212</v>
      </c>
      <c r="AD28" s="13">
        <f>SUM($AC$28:$AC$28)</f>
        <v>578.69404363066212</v>
      </c>
      <c r="AE28" s="13">
        <v>0</v>
      </c>
      <c r="AF28" s="13">
        <v>0</v>
      </c>
      <c r="AG28" s="13">
        <f>SUM($AE$28:$AF$28)</f>
        <v>0</v>
      </c>
      <c r="AH28" s="13">
        <f>'TR TUSD'!$AH$28*'TR TUSD'!$AH$60</f>
        <v>24.538663534209668</v>
      </c>
      <c r="AI28" s="13">
        <f>'TR TUSD'!$AI$28*'TR TUSD'!$AI$60</f>
        <v>0</v>
      </c>
      <c r="AJ28" s="13">
        <f ca="1">'TR TUSD'!$AJ$28*'TR TUSD'!$AJ$60</f>
        <v>0</v>
      </c>
      <c r="AK28" s="13">
        <f ca="1">'TR TUSD'!$AK$28*'TR TUSD'!$AK$60</f>
        <v>0</v>
      </c>
      <c r="AL28" s="13">
        <f ca="1">SUM($AH$28:$AK$28)</f>
        <v>24.538663534209668</v>
      </c>
      <c r="AM28" s="13">
        <f ca="1">SUMIF($L$4:$AL$4,"SUBTOTAL",$L$28:$AL$28)</f>
        <v>750.01424370225914</v>
      </c>
      <c r="AP28" s="13">
        <f>IF((1 - CUSTOS!$M$26)&lt;&gt;0,1/(1 - CUSTOS!$M$26),1)</f>
        <v>1</v>
      </c>
    </row>
    <row r="29" spans="1:42" ht="11.25" customHeight="1" x14ac:dyDescent="0.25">
      <c r="A29" s="102"/>
      <c r="B29" s="102"/>
      <c r="C29" s="102"/>
      <c r="D29" s="23" t="s">
        <v>32</v>
      </c>
      <c r="E29" s="23" t="s">
        <v>25</v>
      </c>
      <c r="F29" s="23" t="s">
        <v>25</v>
      </c>
      <c r="G29" s="24" t="s">
        <v>70</v>
      </c>
      <c r="H29" s="24" t="s">
        <v>66</v>
      </c>
      <c r="I29" s="24">
        <f>'MERCADO TUSD'!$U$26</f>
        <v>0</v>
      </c>
      <c r="J29" s="15"/>
      <c r="L29" s="13">
        <f>'TR TUSD'!$L$29*'TR TUSD'!$L$60</f>
        <v>0</v>
      </c>
      <c r="M29" s="13">
        <f>'TR TUSD'!$M$29*'TR TUSD'!$M$60</f>
        <v>2.7365797396916687</v>
      </c>
      <c r="N29" s="13">
        <f ca="1">'TR TUSD'!$N$29*'TR TUSD'!$N$60</f>
        <v>0</v>
      </c>
      <c r="O29" s="13">
        <f>'TR TUSD'!$O$29*'TR TUSD'!$O$60</f>
        <v>0</v>
      </c>
      <c r="P29" s="13">
        <f>'TR TUSD'!$P$29*'TR TUSD'!$P$60</f>
        <v>0</v>
      </c>
      <c r="Q29" s="13">
        <f>'TR TUSD'!$Q$29*'TR TUSD'!$Q$60</f>
        <v>0</v>
      </c>
      <c r="R29" s="13">
        <f>'TR TUSD'!$R$29*'TR TUSD'!$R$60</f>
        <v>0</v>
      </c>
      <c r="S29" s="13">
        <f>'TR TUSD'!$S$29*'TR TUSD'!$S$60</f>
        <v>0</v>
      </c>
      <c r="T29" s="13">
        <f ca="1">SUM($L$29:$S$29)</f>
        <v>2.7365797396916687</v>
      </c>
      <c r="U29" s="13">
        <f>'TR TUSD'!$U$29*'TR TUSD'!$U$60</f>
        <v>0</v>
      </c>
      <c r="V29" s="13">
        <f>'TR TUSD'!$V$29*'TR TUSD'!$V$60</f>
        <v>0</v>
      </c>
      <c r="W29" s="13">
        <f>'TR TUSD'!$W$29*'TR TUSD'!$W$60</f>
        <v>0</v>
      </c>
      <c r="X29" s="13">
        <f>'TR TUSD'!$X$29*'TR TUSD'!$X$60</f>
        <v>0</v>
      </c>
      <c r="Y29" s="13">
        <f>'TR TUSD'!$Y$29*'TR TUSD'!$Y$60</f>
        <v>144.04495679769556</v>
      </c>
      <c r="Z29" s="13">
        <f>'TR TUSD'!$Z$29</f>
        <v>0</v>
      </c>
      <c r="AA29" s="13">
        <f>'TR TUSD'!$AA$29</f>
        <v>0</v>
      </c>
      <c r="AB29" s="13">
        <f>SUM($U$29:$AA$29)</f>
        <v>144.04495679769556</v>
      </c>
      <c r="AC29" s="13">
        <f>'TR TUSD'!$AC$29*'TR TUSD'!$AC$60</f>
        <v>578.69404363066212</v>
      </c>
      <c r="AD29" s="13">
        <f>SUM($AC$29:$AC$29)</f>
        <v>578.69404363066212</v>
      </c>
      <c r="AE29" s="13">
        <v>0</v>
      </c>
      <c r="AF29" s="13">
        <v>0</v>
      </c>
      <c r="AG29" s="13">
        <f>SUM($AE$29:$AF$29)</f>
        <v>0</v>
      </c>
      <c r="AH29" s="13">
        <f>'TR TUSD'!$AH$29*'TR TUSD'!$AH$60</f>
        <v>24.538663534209668</v>
      </c>
      <c r="AI29" s="13">
        <f>'TR TUSD'!$AI$29*'TR TUSD'!$AI$60</f>
        <v>0</v>
      </c>
      <c r="AJ29" s="13">
        <f ca="1">'TR TUSD'!$AJ$29*'TR TUSD'!$AJ$60</f>
        <v>0</v>
      </c>
      <c r="AK29" s="13">
        <f ca="1">'TR TUSD'!$AK$29*'TR TUSD'!$AK$60</f>
        <v>0</v>
      </c>
      <c r="AL29" s="13">
        <f ca="1">SUM($AH$29:$AK$29)</f>
        <v>24.538663534209668</v>
      </c>
      <c r="AM29" s="13">
        <f ca="1">SUMIF($L$4:$AL$4,"SUBTOTAL",$L$29:$AL$29)</f>
        <v>750.01424370225914</v>
      </c>
      <c r="AP29" s="13">
        <f>IF((1 - CUSTOS!$M$27)&lt;&gt;0,1/(1 - CUSTOS!$M$27),1)</f>
        <v>1</v>
      </c>
    </row>
    <row r="30" spans="1:42" ht="11.25" customHeight="1" x14ac:dyDescent="0.25">
      <c r="A30" s="102" t="s">
        <v>41</v>
      </c>
      <c r="B30" s="102" t="s">
        <v>33</v>
      </c>
      <c r="C30" s="102" t="s">
        <v>42</v>
      </c>
      <c r="D30" s="102" t="s">
        <v>25</v>
      </c>
      <c r="E30" s="102" t="s">
        <v>25</v>
      </c>
      <c r="F30" s="102" t="s">
        <v>25</v>
      </c>
      <c r="G30" s="24" t="s">
        <v>67</v>
      </c>
      <c r="H30" s="24" t="s">
        <v>66</v>
      </c>
      <c r="I30" s="24">
        <f>'MERCADO TUSD'!$U$27</f>
        <v>0</v>
      </c>
      <c r="J30" s="15"/>
      <c r="L30" s="13">
        <f>'TR TUSD'!$L$30*'TR TUSD'!$L$60</f>
        <v>0</v>
      </c>
      <c r="M30" s="13">
        <f>'TR TUSD'!$M$30*'TR TUSD'!$M$60</f>
        <v>2.7365797396916687</v>
      </c>
      <c r="N30" s="13">
        <f ca="1">'TR TUSD'!$N$30*'TR TUSD'!$N$60</f>
        <v>0</v>
      </c>
      <c r="O30" s="13">
        <f>'TR TUSD'!$O$30*'TR TUSD'!$O$60</f>
        <v>0</v>
      </c>
      <c r="P30" s="13">
        <f>'TR TUSD'!$P$30*'TR TUSD'!$P$60</f>
        <v>0</v>
      </c>
      <c r="Q30" s="13">
        <f>'TR TUSD'!$Q$30*'TR TUSD'!$Q$60</f>
        <v>90.638671302241676</v>
      </c>
      <c r="R30" s="13">
        <f>'TR TUSD'!$R$30*'TR TUSD'!$R$60</f>
        <v>14.330975493458187</v>
      </c>
      <c r="S30" s="13">
        <f>'TR TUSD'!$S$30*'TR TUSD'!$S$60</f>
        <v>0</v>
      </c>
      <c r="T30" s="13">
        <f ca="1">SUM($L$30:$S$30)</f>
        <v>107.70622653539152</v>
      </c>
      <c r="U30" s="13">
        <f>'TR TUSD'!$U$30*'TR TUSD'!$U$60</f>
        <v>0</v>
      </c>
      <c r="V30" s="13">
        <f>'TR TUSD'!$V$30*'TR TUSD'!$V$60</f>
        <v>0</v>
      </c>
      <c r="W30" s="13">
        <f>'TR TUSD'!$W$30*'TR TUSD'!$W$60</f>
        <v>0</v>
      </c>
      <c r="X30" s="13">
        <f>'TR TUSD'!$X$30*'TR TUSD'!$X$60</f>
        <v>0</v>
      </c>
      <c r="Y30" s="13">
        <f>'TR TUSD'!$Y$30*'TR TUSD'!$Y$60</f>
        <v>489.62309178199064</v>
      </c>
      <c r="Z30" s="13">
        <f>'TR TUSD'!$Z$30</f>
        <v>0</v>
      </c>
      <c r="AA30" s="13">
        <f>'TR TUSD'!$AA$30</f>
        <v>0</v>
      </c>
      <c r="AB30" s="13">
        <f>SUM($U$30:$AA$30)</f>
        <v>489.62309178199064</v>
      </c>
      <c r="AC30" s="13">
        <f>'TR TUSD'!$AC$30*'TR TUSD'!$AC$60</f>
        <v>1967.5600736051269</v>
      </c>
      <c r="AD30" s="13">
        <f>SUM($AC$30:$AC$30)</f>
        <v>1967.5600736051269</v>
      </c>
      <c r="AE30" s="13">
        <v>0</v>
      </c>
      <c r="AF30" s="13">
        <v>0</v>
      </c>
      <c r="AG30" s="13">
        <f>SUM($AE$30:$AF$30)</f>
        <v>0</v>
      </c>
      <c r="AH30" s="13">
        <f>'TR TUSD'!$AH$30*'TR TUSD'!$AH$60</f>
        <v>24.538663534209668</v>
      </c>
      <c r="AI30" s="13">
        <f>'TR TUSD'!$AI$30*'TR TUSD'!$AI$60</f>
        <v>0</v>
      </c>
      <c r="AJ30" s="13">
        <f ca="1">'TR TUSD'!$AJ$30*'TR TUSD'!$AJ$60</f>
        <v>0</v>
      </c>
      <c r="AK30" s="13">
        <f ca="1">'TR TUSD'!$AK$30*'TR TUSD'!$AK$60</f>
        <v>0</v>
      </c>
      <c r="AL30" s="13">
        <f ca="1">SUM($AH$30:$AK$30)</f>
        <v>24.538663534209668</v>
      </c>
      <c r="AM30" s="13">
        <f ca="1">SUMIF($L$4:$AL$4,"SUBTOTAL",$L$30:$AL$30)</f>
        <v>2589.428055456719</v>
      </c>
      <c r="AP30" s="13">
        <f>IF((1 - CUSTOS!$M$28)&lt;&gt;0,1/(1 - CUSTOS!$M$28),1)</f>
        <v>1</v>
      </c>
    </row>
    <row r="31" spans="1:42" ht="11.25" customHeight="1" x14ac:dyDescent="0.25">
      <c r="A31" s="102"/>
      <c r="B31" s="102"/>
      <c r="C31" s="102"/>
      <c r="D31" s="102"/>
      <c r="E31" s="102"/>
      <c r="F31" s="102"/>
      <c r="G31" s="24" t="s">
        <v>80</v>
      </c>
      <c r="H31" s="24" t="s">
        <v>66</v>
      </c>
      <c r="I31" s="24">
        <f>'MERCADO TUSD'!$U$28</f>
        <v>0</v>
      </c>
      <c r="J31" s="15"/>
      <c r="L31" s="13">
        <f>'TR TUSD'!$L$31*'TR TUSD'!$L$60</f>
        <v>0</v>
      </c>
      <c r="M31" s="13">
        <f>'TR TUSD'!$M$31*'TR TUSD'!$M$60</f>
        <v>2.7365797396916687</v>
      </c>
      <c r="N31" s="13">
        <f ca="1">'TR TUSD'!$N$31*'TR TUSD'!$N$60</f>
        <v>0</v>
      </c>
      <c r="O31" s="13">
        <f>'TR TUSD'!$O$31*'TR TUSD'!$O$60</f>
        <v>0</v>
      </c>
      <c r="P31" s="13">
        <f>'TR TUSD'!$P$31*'TR TUSD'!$P$60</f>
        <v>0</v>
      </c>
      <c r="Q31" s="13">
        <f>'TR TUSD'!$Q$31*'TR TUSD'!$Q$60</f>
        <v>90.638671302241676</v>
      </c>
      <c r="R31" s="13">
        <f>'TR TUSD'!$R$31*'TR TUSD'!$R$60</f>
        <v>14.330975493458187</v>
      </c>
      <c r="S31" s="13">
        <f>'TR TUSD'!$S$31*'TR TUSD'!$S$60</f>
        <v>0</v>
      </c>
      <c r="T31" s="13">
        <f ca="1">SUM($L$31:$S$31)</f>
        <v>107.70622653539152</v>
      </c>
      <c r="U31" s="13">
        <f>'TR TUSD'!$U$31*'TR TUSD'!$U$60</f>
        <v>0</v>
      </c>
      <c r="V31" s="13">
        <f>'TR TUSD'!$V$31*'TR TUSD'!$V$60</f>
        <v>0</v>
      </c>
      <c r="W31" s="13">
        <f>'TR TUSD'!$W$31*'TR TUSD'!$W$60</f>
        <v>0</v>
      </c>
      <c r="X31" s="13">
        <f>'TR TUSD'!$X$31*'TR TUSD'!$X$60</f>
        <v>0</v>
      </c>
      <c r="Y31" s="13">
        <f>'TR TUSD'!$Y$31*'TR TUSD'!$Y$60</f>
        <v>293.78676533351631</v>
      </c>
      <c r="Z31" s="13">
        <f>'TR TUSD'!$Z$31</f>
        <v>0</v>
      </c>
      <c r="AA31" s="13">
        <f>'TR TUSD'!$AA$31</f>
        <v>0</v>
      </c>
      <c r="AB31" s="13">
        <f>SUM($U$31:$AA$31)</f>
        <v>293.78676533351631</v>
      </c>
      <c r="AC31" s="13">
        <f>'TR TUSD'!$AC$31*'TR TUSD'!$AC$60</f>
        <v>1180.5357421351202</v>
      </c>
      <c r="AD31" s="13">
        <f>SUM($AC$31:$AC$31)</f>
        <v>1180.5357421351202</v>
      </c>
      <c r="AE31" s="13">
        <v>0</v>
      </c>
      <c r="AF31" s="13">
        <v>0</v>
      </c>
      <c r="AG31" s="13">
        <f>SUM($AE$31:$AF$31)</f>
        <v>0</v>
      </c>
      <c r="AH31" s="13">
        <f>'TR TUSD'!$AH$31*'TR TUSD'!$AH$60</f>
        <v>24.538663534209668</v>
      </c>
      <c r="AI31" s="13">
        <f>'TR TUSD'!$AI$31*'TR TUSD'!$AI$60</f>
        <v>0</v>
      </c>
      <c r="AJ31" s="13">
        <f ca="1">'TR TUSD'!$AJ$31*'TR TUSD'!$AJ$60</f>
        <v>0</v>
      </c>
      <c r="AK31" s="13">
        <f ca="1">'TR TUSD'!$AK$31*'TR TUSD'!$AK$60</f>
        <v>0</v>
      </c>
      <c r="AL31" s="13">
        <f ca="1">SUM($AH$31:$AK$31)</f>
        <v>24.538663534209668</v>
      </c>
      <c r="AM31" s="13">
        <f ca="1">SUMIF($L$4:$AL$4,"SUBTOTAL",$L$31:$AL$31)</f>
        <v>1606.5673975382379</v>
      </c>
      <c r="AP31" s="13">
        <f>IF((1 - CUSTOS!$M$28)&lt;&gt;0,1/(1 - CUSTOS!$M$28),1)</f>
        <v>1</v>
      </c>
    </row>
    <row r="32" spans="1:42" ht="11.25" customHeight="1" x14ac:dyDescent="0.25">
      <c r="A32" s="102"/>
      <c r="B32" s="102"/>
      <c r="C32" s="102"/>
      <c r="D32" s="102"/>
      <c r="E32" s="102"/>
      <c r="F32" s="102"/>
      <c r="G32" s="24" t="s">
        <v>68</v>
      </c>
      <c r="H32" s="24" t="s">
        <v>66</v>
      </c>
      <c r="I32" s="24">
        <f>'MERCADO TUSD'!$U$29</f>
        <v>0</v>
      </c>
      <c r="J32" s="15"/>
      <c r="L32" s="13">
        <f>'TR TUSD'!$L$32*'TR TUSD'!$L$60</f>
        <v>0</v>
      </c>
      <c r="M32" s="13">
        <f>'TR TUSD'!$M$32*'TR TUSD'!$M$60</f>
        <v>2.7365797396916687</v>
      </c>
      <c r="N32" s="13">
        <f ca="1">'TR TUSD'!$N$32*'TR TUSD'!$N$60</f>
        <v>0</v>
      </c>
      <c r="O32" s="13">
        <f>'TR TUSD'!$O$32*'TR TUSD'!$O$60</f>
        <v>0</v>
      </c>
      <c r="P32" s="13">
        <f>'TR TUSD'!$P$32*'TR TUSD'!$P$60</f>
        <v>0</v>
      </c>
      <c r="Q32" s="13">
        <f>'TR TUSD'!$Q$32*'TR TUSD'!$Q$60</f>
        <v>90.638671302241676</v>
      </c>
      <c r="R32" s="13">
        <f>'TR TUSD'!$R$32*'TR TUSD'!$R$60</f>
        <v>14.330975493458187</v>
      </c>
      <c r="S32" s="13">
        <f>'TR TUSD'!$S$32*'TR TUSD'!$S$60</f>
        <v>0</v>
      </c>
      <c r="T32" s="13">
        <f ca="1">SUM($L$32:$S$32)</f>
        <v>107.70622653539152</v>
      </c>
      <c r="U32" s="13">
        <f>'TR TUSD'!$U$32*'TR TUSD'!$U$60</f>
        <v>0</v>
      </c>
      <c r="V32" s="13">
        <f>'TR TUSD'!$V$32*'TR TUSD'!$V$60</f>
        <v>0</v>
      </c>
      <c r="W32" s="13">
        <f>'TR TUSD'!$W$32*'TR TUSD'!$W$60</f>
        <v>0</v>
      </c>
      <c r="X32" s="13">
        <f>'TR TUSD'!$X$32*'TR TUSD'!$X$60</f>
        <v>0</v>
      </c>
      <c r="Y32" s="13">
        <f>'TR TUSD'!$Y$32*'TR TUSD'!$Y$60</f>
        <v>97.950438885041933</v>
      </c>
      <c r="Z32" s="13">
        <f>'TR TUSD'!$Z$32</f>
        <v>0</v>
      </c>
      <c r="AA32" s="13">
        <f>'TR TUSD'!$AA$32</f>
        <v>0</v>
      </c>
      <c r="AB32" s="13">
        <f>SUM($U$32:$AA$32)</f>
        <v>97.950438885041933</v>
      </c>
      <c r="AC32" s="13">
        <f>'TR TUSD'!$AC$32*'TR TUSD'!$AC$60</f>
        <v>393.51210765270412</v>
      </c>
      <c r="AD32" s="13">
        <f>SUM($AC$32:$AC$32)</f>
        <v>393.51210765270412</v>
      </c>
      <c r="AE32" s="13">
        <v>0</v>
      </c>
      <c r="AF32" s="13">
        <v>0</v>
      </c>
      <c r="AG32" s="13">
        <f>SUM($AE$32:$AF$32)</f>
        <v>0</v>
      </c>
      <c r="AH32" s="13">
        <f>'TR TUSD'!$AH$32*'TR TUSD'!$AH$60</f>
        <v>24.538663534209668</v>
      </c>
      <c r="AI32" s="13">
        <f>'TR TUSD'!$AI$32*'TR TUSD'!$AI$60</f>
        <v>0</v>
      </c>
      <c r="AJ32" s="13">
        <f ca="1">'TR TUSD'!$AJ$32*'TR TUSD'!$AJ$60</f>
        <v>0</v>
      </c>
      <c r="AK32" s="13">
        <f ca="1">'TR TUSD'!$AK$32*'TR TUSD'!$AK$60</f>
        <v>0</v>
      </c>
      <c r="AL32" s="13">
        <f ca="1">SUM($AH$32:$AK$32)</f>
        <v>24.538663534209668</v>
      </c>
      <c r="AM32" s="13">
        <f ca="1">SUMIF($L$4:$AL$4,"SUBTOTAL",$L$32:$AL$32)</f>
        <v>623.70743660734729</v>
      </c>
      <c r="AP32" s="13">
        <f>IF((1 - CUSTOS!$M$28)&lt;&gt;0,1/(1 - CUSTOS!$M$28),1)</f>
        <v>1</v>
      </c>
    </row>
    <row r="33" spans="1:42" ht="11.25" customHeight="1" x14ac:dyDescent="0.25">
      <c r="A33" s="102"/>
      <c r="B33" s="23" t="s">
        <v>23</v>
      </c>
      <c r="C33" s="23" t="s">
        <v>42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66</v>
      </c>
      <c r="I33" s="24">
        <f>'MERCADO TUSD'!$U$30</f>
        <v>674.72400000000005</v>
      </c>
      <c r="J33" s="15"/>
      <c r="L33" s="13">
        <f>'TR TUSD'!$L$33*'TR TUSD'!$L$60</f>
        <v>0</v>
      </c>
      <c r="M33" s="13">
        <f>'TR TUSD'!$M$33*'TR TUSD'!$M$60</f>
        <v>2.7365797396916687</v>
      </c>
      <c r="N33" s="13">
        <f ca="1">'TR TUSD'!$N$33*'TR TUSD'!$N$60</f>
        <v>0</v>
      </c>
      <c r="O33" s="13">
        <f>'TR TUSD'!$O$33*'TR TUSD'!$O$60</f>
        <v>0</v>
      </c>
      <c r="P33" s="13">
        <f>'TR TUSD'!$P$33*'TR TUSD'!$P$60</f>
        <v>0</v>
      </c>
      <c r="Q33" s="13">
        <f>'TR TUSD'!$Q$33*'TR TUSD'!$Q$60</f>
        <v>90.638671302241676</v>
      </c>
      <c r="R33" s="13">
        <f>'TR TUSD'!$R$33*'TR TUSD'!$R$60</f>
        <v>14.330975493458187</v>
      </c>
      <c r="S33" s="13">
        <f>'TR TUSD'!$S$33*'TR TUSD'!$S$60</f>
        <v>0</v>
      </c>
      <c r="T33" s="13">
        <f ca="1">SUM($L$33:$S$33)</f>
        <v>107.70622653539152</v>
      </c>
      <c r="U33" s="13">
        <f>'TR TUSD'!$U$33*'TR TUSD'!$U$60</f>
        <v>0</v>
      </c>
      <c r="V33" s="13">
        <f>'TR TUSD'!$V$33*'TR TUSD'!$V$60</f>
        <v>0</v>
      </c>
      <c r="W33" s="13">
        <f>'TR TUSD'!$W$33*'TR TUSD'!$W$60</f>
        <v>0</v>
      </c>
      <c r="X33" s="13">
        <f>'TR TUSD'!$X$33*'TR TUSD'!$X$60</f>
        <v>0</v>
      </c>
      <c r="Y33" s="13">
        <f>'TR TUSD'!$Y$33*'TR TUSD'!$Y$60</f>
        <v>144.04495679769556</v>
      </c>
      <c r="Z33" s="13">
        <f>'TR TUSD'!$Z$33</f>
        <v>0</v>
      </c>
      <c r="AA33" s="13">
        <f>'TR TUSD'!$AA$33</f>
        <v>0</v>
      </c>
      <c r="AB33" s="13">
        <f>SUM($U$33:$AA$33)</f>
        <v>144.04495679769556</v>
      </c>
      <c r="AC33" s="13">
        <f>'TR TUSD'!$AC$33*'TR TUSD'!$AC$60</f>
        <v>578.69404363066212</v>
      </c>
      <c r="AD33" s="13">
        <f>SUM($AC$33:$AC$33)</f>
        <v>578.69404363066212</v>
      </c>
      <c r="AE33" s="13">
        <v>0</v>
      </c>
      <c r="AF33" s="13">
        <v>0</v>
      </c>
      <c r="AG33" s="13">
        <f>SUM($AE$33:$AF$33)</f>
        <v>0</v>
      </c>
      <c r="AH33" s="13">
        <f>'TR TUSD'!$AH$33*'TR TUSD'!$AH$60</f>
        <v>24.538663534209668</v>
      </c>
      <c r="AI33" s="13">
        <f>'TR TUSD'!$AI$33*'TR TUSD'!$AI$60</f>
        <v>0</v>
      </c>
      <c r="AJ33" s="13">
        <f ca="1">'TR TUSD'!$AJ$33*'TR TUSD'!$AJ$60</f>
        <v>0</v>
      </c>
      <c r="AK33" s="13">
        <f ca="1">'TR TUSD'!$AK$33*'TR TUSD'!$AK$60</f>
        <v>0</v>
      </c>
      <c r="AL33" s="13">
        <f ca="1">SUM($AH$33:$AK$33)</f>
        <v>24.538663534209668</v>
      </c>
      <c r="AM33" s="13">
        <f ca="1">SUMIF($L$4:$AL$4,"SUBTOTAL",$L$33:$AL$33)</f>
        <v>854.9838904979589</v>
      </c>
      <c r="AP33" s="13">
        <f>IF((1 - CUSTOS!$M$28)&lt;&gt;0,1/(1 - CUSTOS!$M$28),1)</f>
        <v>1</v>
      </c>
    </row>
    <row r="34" spans="1:42" ht="11.25" customHeight="1" x14ac:dyDescent="0.25">
      <c r="A34" s="102"/>
      <c r="B34" s="102" t="s">
        <v>33</v>
      </c>
      <c r="C34" s="102" t="s">
        <v>42</v>
      </c>
      <c r="D34" s="102" t="s">
        <v>83</v>
      </c>
      <c r="E34" s="102" t="s">
        <v>25</v>
      </c>
      <c r="F34" s="102" t="s">
        <v>25</v>
      </c>
      <c r="G34" s="24" t="s">
        <v>67</v>
      </c>
      <c r="H34" s="24" t="s">
        <v>66</v>
      </c>
      <c r="I34" s="24">
        <f>'MERCADO TUSD'!$U$31</f>
        <v>0</v>
      </c>
      <c r="J34" s="15"/>
      <c r="L34" s="13">
        <f>'TR TUSD'!$L$34*'TR TUSD'!$L$60</f>
        <v>0</v>
      </c>
      <c r="M34" s="13">
        <f>'TR TUSD'!$M$34*'TR TUSD'!$M$60</f>
        <v>2.7365797396916687</v>
      </c>
      <c r="N34" s="13">
        <f ca="1">'TR TUSD'!$N$34*'TR TUSD'!$N$60</f>
        <v>0</v>
      </c>
      <c r="O34" s="13">
        <f>'TR TUSD'!$O$34*'TR TUSD'!$O$60</f>
        <v>0</v>
      </c>
      <c r="P34" s="13">
        <f>'TR TUSD'!$P$34*'TR TUSD'!$P$60</f>
        <v>0</v>
      </c>
      <c r="Q34" s="13">
        <f>'TR TUSD'!$Q$34*'TR TUSD'!$Q$60</f>
        <v>90.638671302241676</v>
      </c>
      <c r="R34" s="13">
        <f>'TR TUSD'!$R$34*'TR TUSD'!$R$60</f>
        <v>14.330975493458187</v>
      </c>
      <c r="S34" s="13">
        <f>'TR TUSD'!$S$34*'TR TUSD'!$S$60</f>
        <v>0</v>
      </c>
      <c r="T34" s="13">
        <f ca="1">SUM($L$34:$S$34)</f>
        <v>107.70622653539152</v>
      </c>
      <c r="U34" s="13">
        <f>'TR TUSD'!$U$34*'TR TUSD'!$U$60</f>
        <v>0</v>
      </c>
      <c r="V34" s="13">
        <f>'TR TUSD'!$V$34*'TR TUSD'!$V$60</f>
        <v>0</v>
      </c>
      <c r="W34" s="13">
        <f>'TR TUSD'!$W$34*'TR TUSD'!$W$60</f>
        <v>0</v>
      </c>
      <c r="X34" s="13">
        <f>'TR TUSD'!$X$34*'TR TUSD'!$X$60</f>
        <v>0</v>
      </c>
      <c r="Y34" s="13">
        <f>'TR TUSD'!$Y$34*'TR TUSD'!$Y$60</f>
        <v>489.62309178199064</v>
      </c>
      <c r="Z34" s="13">
        <f>'TR TUSD'!$Z$34</f>
        <v>0</v>
      </c>
      <c r="AA34" s="13">
        <f>'TR TUSD'!$AA$34</f>
        <v>0</v>
      </c>
      <c r="AB34" s="13">
        <f>SUM($U$34:$AA$34)</f>
        <v>489.62309178199064</v>
      </c>
      <c r="AC34" s="13">
        <f>'TR TUSD'!$AC$34*'TR TUSD'!$AC$60</f>
        <v>1967.5600736051269</v>
      </c>
      <c r="AD34" s="13">
        <f>SUM($AC$34:$AC$34)</f>
        <v>1967.5600736051269</v>
      </c>
      <c r="AE34" s="13">
        <v>0</v>
      </c>
      <c r="AF34" s="13">
        <v>0</v>
      </c>
      <c r="AG34" s="13">
        <f>SUM($AE$34:$AF$34)</f>
        <v>0</v>
      </c>
      <c r="AH34" s="13">
        <f>'TR TUSD'!$AH$34*'TR TUSD'!$AH$60</f>
        <v>24.538663534209668</v>
      </c>
      <c r="AI34" s="13">
        <f>'TR TUSD'!$AI$34*'TR TUSD'!$AI$60</f>
        <v>0</v>
      </c>
      <c r="AJ34" s="13">
        <f ca="1">'TR TUSD'!$AJ$34*'TR TUSD'!$AJ$60</f>
        <v>0</v>
      </c>
      <c r="AK34" s="13">
        <f ca="1">'TR TUSD'!$AK$34*'TR TUSD'!$AK$60</f>
        <v>0</v>
      </c>
      <c r="AL34" s="13">
        <f ca="1">SUM($AH$34:$AK$34)</f>
        <v>24.538663534209668</v>
      </c>
      <c r="AM34" s="13">
        <f ca="1">SUMIF($L$4:$AL$4,"SUBTOTAL",$L$34:$AL$34)</f>
        <v>2589.428055456719</v>
      </c>
      <c r="AP34" s="13">
        <f>IF((1 - CUSTOS!$M$29)&lt;&gt;0,1/(1 - CUSTOS!$M$29),1)</f>
        <v>1</v>
      </c>
    </row>
    <row r="35" spans="1:42" ht="11.25" customHeight="1" x14ac:dyDescent="0.25">
      <c r="A35" s="102"/>
      <c r="B35" s="102"/>
      <c r="C35" s="102"/>
      <c r="D35" s="102"/>
      <c r="E35" s="102"/>
      <c r="F35" s="102"/>
      <c r="G35" s="24" t="s">
        <v>80</v>
      </c>
      <c r="H35" s="24" t="s">
        <v>66</v>
      </c>
      <c r="I35" s="24">
        <f>'MERCADO TUSD'!$U$32</f>
        <v>0</v>
      </c>
      <c r="J35" s="15"/>
      <c r="L35" s="13">
        <f>'TR TUSD'!$L$35*'TR TUSD'!$L$60</f>
        <v>0</v>
      </c>
      <c r="M35" s="13">
        <f>'TR TUSD'!$M$35*'TR TUSD'!$M$60</f>
        <v>2.7365797396916687</v>
      </c>
      <c r="N35" s="13">
        <f ca="1">'TR TUSD'!$N$35*'TR TUSD'!$N$60</f>
        <v>0</v>
      </c>
      <c r="O35" s="13">
        <f>'TR TUSD'!$O$35*'TR TUSD'!$O$60</f>
        <v>0</v>
      </c>
      <c r="P35" s="13">
        <f>'TR TUSD'!$P$35*'TR TUSD'!$P$60</f>
        <v>0</v>
      </c>
      <c r="Q35" s="13">
        <f>'TR TUSD'!$Q$35*'TR TUSD'!$Q$60</f>
        <v>90.638671302241676</v>
      </c>
      <c r="R35" s="13">
        <f>'TR TUSD'!$R$35*'TR TUSD'!$R$60</f>
        <v>14.330975493458187</v>
      </c>
      <c r="S35" s="13">
        <f>'TR TUSD'!$S$35*'TR TUSD'!$S$60</f>
        <v>0</v>
      </c>
      <c r="T35" s="13">
        <f ca="1">SUM($L$35:$S$35)</f>
        <v>107.70622653539152</v>
      </c>
      <c r="U35" s="13">
        <f>'TR TUSD'!$U$35*'TR TUSD'!$U$60</f>
        <v>0</v>
      </c>
      <c r="V35" s="13">
        <f>'TR TUSD'!$V$35*'TR TUSD'!$V$60</f>
        <v>0</v>
      </c>
      <c r="W35" s="13">
        <f>'TR TUSD'!$W$35*'TR TUSD'!$W$60</f>
        <v>0</v>
      </c>
      <c r="X35" s="13">
        <f>'TR TUSD'!$X$35*'TR TUSD'!$X$60</f>
        <v>0</v>
      </c>
      <c r="Y35" s="13">
        <f>'TR TUSD'!$Y$35*'TR TUSD'!$Y$60</f>
        <v>293.78676533351631</v>
      </c>
      <c r="Z35" s="13">
        <f>'TR TUSD'!$Z$35</f>
        <v>0</v>
      </c>
      <c r="AA35" s="13">
        <f>'TR TUSD'!$AA$35</f>
        <v>0</v>
      </c>
      <c r="AB35" s="13">
        <f>SUM($U$35:$AA$35)</f>
        <v>293.78676533351631</v>
      </c>
      <c r="AC35" s="13">
        <f>'TR TUSD'!$AC$35*'TR TUSD'!$AC$60</f>
        <v>1180.5357421351202</v>
      </c>
      <c r="AD35" s="13">
        <f>SUM($AC$35:$AC$35)</f>
        <v>1180.5357421351202</v>
      </c>
      <c r="AE35" s="13">
        <v>0</v>
      </c>
      <c r="AF35" s="13">
        <v>0</v>
      </c>
      <c r="AG35" s="13">
        <f>SUM($AE$35:$AF$35)</f>
        <v>0</v>
      </c>
      <c r="AH35" s="13">
        <f>'TR TUSD'!$AH$35*'TR TUSD'!$AH$60</f>
        <v>24.538663534209668</v>
      </c>
      <c r="AI35" s="13">
        <f>'TR TUSD'!$AI$35*'TR TUSD'!$AI$60</f>
        <v>0</v>
      </c>
      <c r="AJ35" s="13">
        <f ca="1">'TR TUSD'!$AJ$35*'TR TUSD'!$AJ$60</f>
        <v>0</v>
      </c>
      <c r="AK35" s="13">
        <f ca="1">'TR TUSD'!$AK$35*'TR TUSD'!$AK$60</f>
        <v>0</v>
      </c>
      <c r="AL35" s="13">
        <f ca="1">SUM($AH$35:$AK$35)</f>
        <v>24.538663534209668</v>
      </c>
      <c r="AM35" s="13">
        <f ca="1">SUMIF($L$4:$AL$4,"SUBTOTAL",$L$35:$AL$35)</f>
        <v>1606.5673975382379</v>
      </c>
      <c r="AP35" s="13">
        <f>IF((1 - CUSTOS!$M$29)&lt;&gt;0,1/(1 - CUSTOS!$M$29),1)</f>
        <v>1</v>
      </c>
    </row>
    <row r="36" spans="1:42" ht="11.25" customHeight="1" x14ac:dyDescent="0.25">
      <c r="A36" s="102"/>
      <c r="B36" s="102"/>
      <c r="C36" s="102"/>
      <c r="D36" s="102"/>
      <c r="E36" s="102"/>
      <c r="F36" s="102"/>
      <c r="G36" s="24" t="s">
        <v>68</v>
      </c>
      <c r="H36" s="24" t="s">
        <v>66</v>
      </c>
      <c r="I36" s="24">
        <f>'MERCADO TUSD'!$U$33</f>
        <v>0</v>
      </c>
      <c r="J36" s="15"/>
      <c r="L36" s="13">
        <f>'TR TUSD'!$L$36*'TR TUSD'!$L$60</f>
        <v>0</v>
      </c>
      <c r="M36" s="13">
        <f>'TR TUSD'!$M$36*'TR TUSD'!$M$60</f>
        <v>2.7365797396916687</v>
      </c>
      <c r="N36" s="13">
        <f ca="1">'TR TUSD'!$N$36*'TR TUSD'!$N$60</f>
        <v>0</v>
      </c>
      <c r="O36" s="13">
        <f>'TR TUSD'!$O$36*'TR TUSD'!$O$60</f>
        <v>0</v>
      </c>
      <c r="P36" s="13">
        <f>'TR TUSD'!$P$36*'TR TUSD'!$P$60</f>
        <v>0</v>
      </c>
      <c r="Q36" s="13">
        <f>'TR TUSD'!$Q$36*'TR TUSD'!$Q$60</f>
        <v>90.638671302241676</v>
      </c>
      <c r="R36" s="13">
        <f>'TR TUSD'!$R$36*'TR TUSD'!$R$60</f>
        <v>14.330975493458187</v>
      </c>
      <c r="S36" s="13">
        <f>'TR TUSD'!$S$36*'TR TUSD'!$S$60</f>
        <v>0</v>
      </c>
      <c r="T36" s="13">
        <f ca="1">SUM($L$36:$S$36)</f>
        <v>107.70622653539152</v>
      </c>
      <c r="U36" s="13">
        <f>'TR TUSD'!$U$36*'TR TUSD'!$U$60</f>
        <v>0</v>
      </c>
      <c r="V36" s="13">
        <f>'TR TUSD'!$V$36*'TR TUSD'!$V$60</f>
        <v>0</v>
      </c>
      <c r="W36" s="13">
        <f>'TR TUSD'!$W$36*'TR TUSD'!$W$60</f>
        <v>0</v>
      </c>
      <c r="X36" s="13">
        <f>'TR TUSD'!$X$36*'TR TUSD'!$X$60</f>
        <v>0</v>
      </c>
      <c r="Y36" s="13">
        <f>'TR TUSD'!$Y$36*'TR TUSD'!$Y$60</f>
        <v>97.950438885041933</v>
      </c>
      <c r="Z36" s="13">
        <f>'TR TUSD'!$Z$36</f>
        <v>0</v>
      </c>
      <c r="AA36" s="13">
        <f>'TR TUSD'!$AA$36</f>
        <v>0</v>
      </c>
      <c r="AB36" s="13">
        <f>SUM($U$36:$AA$36)</f>
        <v>97.950438885041933</v>
      </c>
      <c r="AC36" s="13">
        <f>'TR TUSD'!$AC$36*'TR TUSD'!$AC$60</f>
        <v>393.51210765270412</v>
      </c>
      <c r="AD36" s="13">
        <f>SUM($AC$36:$AC$36)</f>
        <v>393.51210765270412</v>
      </c>
      <c r="AE36" s="13">
        <v>0</v>
      </c>
      <c r="AF36" s="13">
        <v>0</v>
      </c>
      <c r="AG36" s="13">
        <f>SUM($AE$36:$AF$36)</f>
        <v>0</v>
      </c>
      <c r="AH36" s="13">
        <f>'TR TUSD'!$AH$36*'TR TUSD'!$AH$60</f>
        <v>24.538663534209668</v>
      </c>
      <c r="AI36" s="13">
        <f>'TR TUSD'!$AI$36*'TR TUSD'!$AI$60</f>
        <v>0</v>
      </c>
      <c r="AJ36" s="13">
        <f ca="1">'TR TUSD'!$AJ$36*'TR TUSD'!$AJ$60</f>
        <v>0</v>
      </c>
      <c r="AK36" s="13">
        <f ca="1">'TR TUSD'!$AK$36*'TR TUSD'!$AK$60</f>
        <v>0</v>
      </c>
      <c r="AL36" s="13">
        <f ca="1">SUM($AH$36:$AK$36)</f>
        <v>24.538663534209668</v>
      </c>
      <c r="AM36" s="13">
        <f ca="1">SUMIF($L$4:$AL$4,"SUBTOTAL",$L$36:$AL$36)</f>
        <v>623.70743660734729</v>
      </c>
      <c r="AP36" s="13">
        <f>IF((1 - CUSTOS!$M$29)&lt;&gt;0,1/(1 - CUSTOS!$M$29),1)</f>
        <v>1</v>
      </c>
    </row>
    <row r="37" spans="1:42" ht="11.25" customHeight="1" x14ac:dyDescent="0.25">
      <c r="A37" s="102"/>
      <c r="B37" s="23" t="s">
        <v>23</v>
      </c>
      <c r="C37" s="23" t="s">
        <v>42</v>
      </c>
      <c r="D37" s="23" t="s">
        <v>83</v>
      </c>
      <c r="E37" s="23" t="s">
        <v>25</v>
      </c>
      <c r="F37" s="23" t="s">
        <v>25</v>
      </c>
      <c r="G37" s="24" t="s">
        <v>70</v>
      </c>
      <c r="H37" s="24" t="s">
        <v>66</v>
      </c>
      <c r="I37" s="24">
        <f>'MERCADO TUSD'!$U$34</f>
        <v>0</v>
      </c>
      <c r="J37" s="15"/>
      <c r="L37" s="13">
        <f>'TR TUSD'!$L$37*'TR TUSD'!$L$60</f>
        <v>0</v>
      </c>
      <c r="M37" s="13">
        <f>'TR TUSD'!$M$37*'TR TUSD'!$M$60</f>
        <v>2.7365797396916687</v>
      </c>
      <c r="N37" s="13">
        <f ca="1">'TR TUSD'!$N$37*'TR TUSD'!$N$60</f>
        <v>0</v>
      </c>
      <c r="O37" s="13">
        <f>'TR TUSD'!$O$37*'TR TUSD'!$O$60</f>
        <v>0</v>
      </c>
      <c r="P37" s="13">
        <f>'TR TUSD'!$P$37*'TR TUSD'!$P$60</f>
        <v>0</v>
      </c>
      <c r="Q37" s="13">
        <f>'TR TUSD'!$Q$37*'TR TUSD'!$Q$60</f>
        <v>90.638671302241676</v>
      </c>
      <c r="R37" s="13">
        <f>'TR TUSD'!$R$37*'TR TUSD'!$R$60</f>
        <v>14.330975493458187</v>
      </c>
      <c r="S37" s="13">
        <f>'TR TUSD'!$S$37*'TR TUSD'!$S$60</f>
        <v>0</v>
      </c>
      <c r="T37" s="13">
        <f ca="1">SUM($L$37:$S$37)</f>
        <v>107.70622653539152</v>
      </c>
      <c r="U37" s="13">
        <f>'TR TUSD'!$U$37*'TR TUSD'!$U$60</f>
        <v>0</v>
      </c>
      <c r="V37" s="13">
        <f>'TR TUSD'!$V$37*'TR TUSD'!$V$60</f>
        <v>0</v>
      </c>
      <c r="W37" s="13">
        <f>'TR TUSD'!$W$37*'TR TUSD'!$W$60</f>
        <v>0</v>
      </c>
      <c r="X37" s="13">
        <f>'TR TUSD'!$X$37*'TR TUSD'!$X$60</f>
        <v>0</v>
      </c>
      <c r="Y37" s="13">
        <f>'TR TUSD'!$Y$37*'TR TUSD'!$Y$60</f>
        <v>144.04495679769556</v>
      </c>
      <c r="Z37" s="13">
        <f>'TR TUSD'!$Z$37</f>
        <v>0</v>
      </c>
      <c r="AA37" s="13">
        <f>'TR TUSD'!$AA$37</f>
        <v>0</v>
      </c>
      <c r="AB37" s="13">
        <f>SUM($U$37:$AA$37)</f>
        <v>144.04495679769556</v>
      </c>
      <c r="AC37" s="13">
        <f>'TR TUSD'!$AC$37*'TR TUSD'!$AC$60</f>
        <v>578.69404363066212</v>
      </c>
      <c r="AD37" s="13">
        <f>SUM($AC$37:$AC$37)</f>
        <v>578.69404363066212</v>
      </c>
      <c r="AE37" s="13">
        <v>0</v>
      </c>
      <c r="AF37" s="13">
        <v>0</v>
      </c>
      <c r="AG37" s="13">
        <f>SUM($AE$37:$AF$37)</f>
        <v>0</v>
      </c>
      <c r="AH37" s="13">
        <f>'TR TUSD'!$AH$37*'TR TUSD'!$AH$60</f>
        <v>24.538663534209668</v>
      </c>
      <c r="AI37" s="13">
        <f>'TR TUSD'!$AI$37*'TR TUSD'!$AI$60</f>
        <v>0</v>
      </c>
      <c r="AJ37" s="13">
        <f ca="1">'TR TUSD'!$AJ$37*'TR TUSD'!$AJ$60</f>
        <v>0</v>
      </c>
      <c r="AK37" s="13">
        <f ca="1">'TR TUSD'!$AK$37*'TR TUSD'!$AK$60</f>
        <v>0</v>
      </c>
      <c r="AL37" s="13">
        <f ca="1">SUM($AH$37:$AK$37)</f>
        <v>24.538663534209668</v>
      </c>
      <c r="AM37" s="13">
        <f ca="1">SUMIF($L$4:$AL$4,"SUBTOTAL",$L$37:$AL$37)</f>
        <v>854.9838904979589</v>
      </c>
      <c r="AP37" s="13">
        <f>IF((1 - CUSTOS!$M$29)&lt;&gt;0,1/(1 - CUSTOS!$M$29),1)</f>
        <v>1</v>
      </c>
    </row>
    <row r="38" spans="1:42" ht="11.25" customHeight="1" x14ac:dyDescent="0.25">
      <c r="A38" s="102"/>
      <c r="B38" s="102" t="s">
        <v>33</v>
      </c>
      <c r="C38" s="102" t="s">
        <v>42</v>
      </c>
      <c r="D38" s="102" t="s">
        <v>84</v>
      </c>
      <c r="E38" s="102" t="s">
        <v>25</v>
      </c>
      <c r="F38" s="102" t="s">
        <v>25</v>
      </c>
      <c r="G38" s="24" t="s">
        <v>67</v>
      </c>
      <c r="H38" s="24" t="s">
        <v>66</v>
      </c>
      <c r="I38" s="24">
        <f>'MERCADO TUSD'!$U$35</f>
        <v>0</v>
      </c>
      <c r="J38" s="15"/>
      <c r="L38" s="13">
        <f>'TR TUSD'!$L$38*'TR TUSD'!$L$60</f>
        <v>0</v>
      </c>
      <c r="M38" s="13">
        <f>'TR TUSD'!$M$38*'TR TUSD'!$M$60</f>
        <v>2.7365797396916687</v>
      </c>
      <c r="N38" s="13">
        <f ca="1">'TR TUSD'!$N$38*'TR TUSD'!$N$60</f>
        <v>0</v>
      </c>
      <c r="O38" s="13">
        <f>'TR TUSD'!$O$38*'TR TUSD'!$O$60</f>
        <v>0</v>
      </c>
      <c r="P38" s="13">
        <f>'TR TUSD'!$P$38*'TR TUSD'!$P$60</f>
        <v>0</v>
      </c>
      <c r="Q38" s="13">
        <f>'TR TUSD'!$Q$38*'TR TUSD'!$Q$60</f>
        <v>90.638671302241676</v>
      </c>
      <c r="R38" s="13">
        <f>'TR TUSD'!$R$38*'TR TUSD'!$R$60</f>
        <v>14.330975493458187</v>
      </c>
      <c r="S38" s="13">
        <f>'TR TUSD'!$S$38*'TR TUSD'!$S$60</f>
        <v>0</v>
      </c>
      <c r="T38" s="13">
        <f ca="1">SUM($L$38:$S$38)</f>
        <v>107.70622653539152</v>
      </c>
      <c r="U38" s="13">
        <f>'TR TUSD'!$U$38*'TR TUSD'!$U$60</f>
        <v>0</v>
      </c>
      <c r="V38" s="13">
        <f>'TR TUSD'!$V$38*'TR TUSD'!$V$60</f>
        <v>0</v>
      </c>
      <c r="W38" s="13">
        <f>'TR TUSD'!$W$38*'TR TUSD'!$W$60</f>
        <v>0</v>
      </c>
      <c r="X38" s="13">
        <f>'TR TUSD'!$X$38*'TR TUSD'!$X$60</f>
        <v>0</v>
      </c>
      <c r="Y38" s="13">
        <f>'TR TUSD'!$Y$38*'TR TUSD'!$Y$60</f>
        <v>489.62309178199064</v>
      </c>
      <c r="Z38" s="13">
        <f>'TR TUSD'!$Z$38</f>
        <v>0</v>
      </c>
      <c r="AA38" s="13">
        <f>'TR TUSD'!$AA$38</f>
        <v>0</v>
      </c>
      <c r="AB38" s="13">
        <f>SUM($U$38:$AA$38)</f>
        <v>489.62309178199064</v>
      </c>
      <c r="AC38" s="13">
        <f>'TR TUSD'!$AC$38*'TR TUSD'!$AC$60</f>
        <v>1967.5600736051269</v>
      </c>
      <c r="AD38" s="13">
        <f>SUM($AC$38:$AC$38)</f>
        <v>1967.5600736051269</v>
      </c>
      <c r="AE38" s="13">
        <v>0</v>
      </c>
      <c r="AF38" s="13">
        <v>0</v>
      </c>
      <c r="AG38" s="13">
        <f>SUM($AE$38:$AF$38)</f>
        <v>0</v>
      </c>
      <c r="AH38" s="13">
        <f>'TR TUSD'!$AH$38*'TR TUSD'!$AH$60</f>
        <v>24.538663534209668</v>
      </c>
      <c r="AI38" s="13">
        <f>'TR TUSD'!$AI$38*'TR TUSD'!$AI$60</f>
        <v>0</v>
      </c>
      <c r="AJ38" s="13">
        <f ca="1">'TR TUSD'!$AJ$38*'TR TUSD'!$AJ$60</f>
        <v>0</v>
      </c>
      <c r="AK38" s="13">
        <f ca="1">'TR TUSD'!$AK$38*'TR TUSD'!$AK$60</f>
        <v>0</v>
      </c>
      <c r="AL38" s="13">
        <f ca="1">SUM($AH$38:$AK$38)</f>
        <v>24.538663534209668</v>
      </c>
      <c r="AM38" s="13">
        <f ca="1">SUMIF($L$4:$AL$4,"SUBTOTAL",$L$38:$AL$38)</f>
        <v>2589.428055456719</v>
      </c>
      <c r="AP38" s="13">
        <f>IF((1 - CUSTOS!$M$30)&lt;&gt;0,1/(1 - CUSTOS!$M$30),1)</f>
        <v>1</v>
      </c>
    </row>
    <row r="39" spans="1:42" ht="11.25" customHeight="1" x14ac:dyDescent="0.25">
      <c r="A39" s="102"/>
      <c r="B39" s="102"/>
      <c r="C39" s="102"/>
      <c r="D39" s="102"/>
      <c r="E39" s="102"/>
      <c r="F39" s="102"/>
      <c r="G39" s="24" t="s">
        <v>80</v>
      </c>
      <c r="H39" s="24" t="s">
        <v>66</v>
      </c>
      <c r="I39" s="24">
        <f>'MERCADO TUSD'!$U$36</f>
        <v>0</v>
      </c>
      <c r="J39" s="15"/>
      <c r="L39" s="13">
        <f>'TR TUSD'!$L$39*'TR TUSD'!$L$60</f>
        <v>0</v>
      </c>
      <c r="M39" s="13">
        <f>'TR TUSD'!$M$39*'TR TUSD'!$M$60</f>
        <v>2.7365797396916687</v>
      </c>
      <c r="N39" s="13">
        <f ca="1">'TR TUSD'!$N$39*'TR TUSD'!$N$60</f>
        <v>0</v>
      </c>
      <c r="O39" s="13">
        <f>'TR TUSD'!$O$39*'TR TUSD'!$O$60</f>
        <v>0</v>
      </c>
      <c r="P39" s="13">
        <f>'TR TUSD'!$P$39*'TR TUSD'!$P$60</f>
        <v>0</v>
      </c>
      <c r="Q39" s="13">
        <f>'TR TUSD'!$Q$39*'TR TUSD'!$Q$60</f>
        <v>90.638671302241676</v>
      </c>
      <c r="R39" s="13">
        <f>'TR TUSD'!$R$39*'TR TUSD'!$R$60</f>
        <v>14.330975493458187</v>
      </c>
      <c r="S39" s="13">
        <f>'TR TUSD'!$S$39*'TR TUSD'!$S$60</f>
        <v>0</v>
      </c>
      <c r="T39" s="13">
        <f ca="1">SUM($L$39:$S$39)</f>
        <v>107.70622653539152</v>
      </c>
      <c r="U39" s="13">
        <f>'TR TUSD'!$U$39*'TR TUSD'!$U$60</f>
        <v>0</v>
      </c>
      <c r="V39" s="13">
        <f>'TR TUSD'!$V$39*'TR TUSD'!$V$60</f>
        <v>0</v>
      </c>
      <c r="W39" s="13">
        <f>'TR TUSD'!$W$39*'TR TUSD'!$W$60</f>
        <v>0</v>
      </c>
      <c r="X39" s="13">
        <f>'TR TUSD'!$X$39*'TR TUSD'!$X$60</f>
        <v>0</v>
      </c>
      <c r="Y39" s="13">
        <f>'TR TUSD'!$Y$39*'TR TUSD'!$Y$60</f>
        <v>293.78676533351631</v>
      </c>
      <c r="Z39" s="13">
        <f>'TR TUSD'!$Z$39</f>
        <v>0</v>
      </c>
      <c r="AA39" s="13">
        <f>'TR TUSD'!$AA$39</f>
        <v>0</v>
      </c>
      <c r="AB39" s="13">
        <f>SUM($U$39:$AA$39)</f>
        <v>293.78676533351631</v>
      </c>
      <c r="AC39" s="13">
        <f>'TR TUSD'!$AC$39*'TR TUSD'!$AC$60</f>
        <v>1180.5357421351202</v>
      </c>
      <c r="AD39" s="13">
        <f>SUM($AC$39:$AC$39)</f>
        <v>1180.5357421351202</v>
      </c>
      <c r="AE39" s="13">
        <v>0</v>
      </c>
      <c r="AF39" s="13">
        <v>0</v>
      </c>
      <c r="AG39" s="13">
        <f>SUM($AE$39:$AF$39)</f>
        <v>0</v>
      </c>
      <c r="AH39" s="13">
        <f>'TR TUSD'!$AH$39*'TR TUSD'!$AH$60</f>
        <v>24.538663534209668</v>
      </c>
      <c r="AI39" s="13">
        <f>'TR TUSD'!$AI$39*'TR TUSD'!$AI$60</f>
        <v>0</v>
      </c>
      <c r="AJ39" s="13">
        <f ca="1">'TR TUSD'!$AJ$39*'TR TUSD'!$AJ$60</f>
        <v>0</v>
      </c>
      <c r="AK39" s="13">
        <f ca="1">'TR TUSD'!$AK$39*'TR TUSD'!$AK$60</f>
        <v>0</v>
      </c>
      <c r="AL39" s="13">
        <f ca="1">SUM($AH$39:$AK$39)</f>
        <v>24.538663534209668</v>
      </c>
      <c r="AM39" s="13">
        <f ca="1">SUMIF($L$4:$AL$4,"SUBTOTAL",$L$39:$AL$39)</f>
        <v>1606.5673975382379</v>
      </c>
      <c r="AP39" s="13">
        <f>IF((1 - CUSTOS!$M$30)&lt;&gt;0,1/(1 - CUSTOS!$M$30),1)</f>
        <v>1</v>
      </c>
    </row>
    <row r="40" spans="1:42" ht="11.25" customHeight="1" x14ac:dyDescent="0.25">
      <c r="A40" s="102"/>
      <c r="B40" s="102"/>
      <c r="C40" s="102"/>
      <c r="D40" s="102"/>
      <c r="E40" s="102"/>
      <c r="F40" s="102"/>
      <c r="G40" s="24" t="s">
        <v>68</v>
      </c>
      <c r="H40" s="24" t="s">
        <v>66</v>
      </c>
      <c r="I40" s="24">
        <f>'MERCADO TUSD'!$U$37</f>
        <v>0</v>
      </c>
      <c r="J40" s="15"/>
      <c r="L40" s="13">
        <f>'TR TUSD'!$L$40*'TR TUSD'!$L$60</f>
        <v>0</v>
      </c>
      <c r="M40" s="13">
        <f>'TR TUSD'!$M$40*'TR TUSD'!$M$60</f>
        <v>2.7365797396916687</v>
      </c>
      <c r="N40" s="13">
        <f ca="1">'TR TUSD'!$N$40*'TR TUSD'!$N$60</f>
        <v>0</v>
      </c>
      <c r="O40" s="13">
        <f>'TR TUSD'!$O$40*'TR TUSD'!$O$60</f>
        <v>0</v>
      </c>
      <c r="P40" s="13">
        <f>'TR TUSD'!$P$40*'TR TUSD'!$P$60</f>
        <v>0</v>
      </c>
      <c r="Q40" s="13">
        <f>'TR TUSD'!$Q$40*'TR TUSD'!$Q$60</f>
        <v>90.638671302241676</v>
      </c>
      <c r="R40" s="13">
        <f>'TR TUSD'!$R$40*'TR TUSD'!$R$60</f>
        <v>14.330975493458187</v>
      </c>
      <c r="S40" s="13">
        <f>'TR TUSD'!$S$40*'TR TUSD'!$S$60</f>
        <v>0</v>
      </c>
      <c r="T40" s="13">
        <f ca="1">SUM($L$40:$S$40)</f>
        <v>107.70622653539152</v>
      </c>
      <c r="U40" s="13">
        <f>'TR TUSD'!$U$40*'TR TUSD'!$U$60</f>
        <v>0</v>
      </c>
      <c r="V40" s="13">
        <f>'TR TUSD'!$V$40*'TR TUSD'!$V$60</f>
        <v>0</v>
      </c>
      <c r="W40" s="13">
        <f>'TR TUSD'!$W$40*'TR TUSD'!$W$60</f>
        <v>0</v>
      </c>
      <c r="X40" s="13">
        <f>'TR TUSD'!$X$40*'TR TUSD'!$X$60</f>
        <v>0</v>
      </c>
      <c r="Y40" s="13">
        <f>'TR TUSD'!$Y$40*'TR TUSD'!$Y$60</f>
        <v>97.950438885041933</v>
      </c>
      <c r="Z40" s="13">
        <f>'TR TUSD'!$Z$40</f>
        <v>0</v>
      </c>
      <c r="AA40" s="13">
        <f>'TR TUSD'!$AA$40</f>
        <v>0</v>
      </c>
      <c r="AB40" s="13">
        <f>SUM($U$40:$AA$40)</f>
        <v>97.950438885041933</v>
      </c>
      <c r="AC40" s="13">
        <f>'TR TUSD'!$AC$40*'TR TUSD'!$AC$60</f>
        <v>393.51210765270412</v>
      </c>
      <c r="AD40" s="13">
        <f>SUM($AC$40:$AC$40)</f>
        <v>393.51210765270412</v>
      </c>
      <c r="AE40" s="13">
        <v>0</v>
      </c>
      <c r="AF40" s="13">
        <v>0</v>
      </c>
      <c r="AG40" s="13">
        <f>SUM($AE$40:$AF$40)</f>
        <v>0</v>
      </c>
      <c r="AH40" s="13">
        <f>'TR TUSD'!$AH$40*'TR TUSD'!$AH$60</f>
        <v>24.538663534209668</v>
      </c>
      <c r="AI40" s="13">
        <f>'TR TUSD'!$AI$40*'TR TUSD'!$AI$60</f>
        <v>0</v>
      </c>
      <c r="AJ40" s="13">
        <f ca="1">'TR TUSD'!$AJ$40*'TR TUSD'!$AJ$60</f>
        <v>0</v>
      </c>
      <c r="AK40" s="13">
        <f ca="1">'TR TUSD'!$AK$40*'TR TUSD'!$AK$60</f>
        <v>0</v>
      </c>
      <c r="AL40" s="13">
        <f ca="1">SUM($AH$40:$AK$40)</f>
        <v>24.538663534209668</v>
      </c>
      <c r="AM40" s="13">
        <f ca="1">SUMIF($L$4:$AL$4,"SUBTOTAL",$L$40:$AL$40)</f>
        <v>623.70743660734729</v>
      </c>
      <c r="AP40" s="13">
        <f>IF((1 - CUSTOS!$M$30)&lt;&gt;0,1/(1 - CUSTOS!$M$30),1)</f>
        <v>1</v>
      </c>
    </row>
    <row r="41" spans="1:42" ht="11.25" customHeight="1" x14ac:dyDescent="0.25">
      <c r="A41" s="102"/>
      <c r="B41" s="23" t="s">
        <v>23</v>
      </c>
      <c r="C41" s="23" t="s">
        <v>42</v>
      </c>
      <c r="D41" s="23" t="s">
        <v>84</v>
      </c>
      <c r="E41" s="23" t="s">
        <v>25</v>
      </c>
      <c r="F41" s="23" t="s">
        <v>25</v>
      </c>
      <c r="G41" s="24" t="s">
        <v>70</v>
      </c>
      <c r="H41" s="24" t="s">
        <v>66</v>
      </c>
      <c r="I41" s="24">
        <f>'MERCADO TUSD'!$U$38</f>
        <v>0</v>
      </c>
      <c r="J41" s="15"/>
      <c r="L41" s="13">
        <f>'TR TUSD'!$L$41*'TR TUSD'!$L$60</f>
        <v>0</v>
      </c>
      <c r="M41" s="13">
        <f>'TR TUSD'!$M$41*'TR TUSD'!$M$60</f>
        <v>2.7365797396916687</v>
      </c>
      <c r="N41" s="13">
        <f ca="1">'TR TUSD'!$N$41*'TR TUSD'!$N$60</f>
        <v>0</v>
      </c>
      <c r="O41" s="13">
        <f>'TR TUSD'!$O$41*'TR TUSD'!$O$60</f>
        <v>0</v>
      </c>
      <c r="P41" s="13">
        <f>'TR TUSD'!$P$41*'TR TUSD'!$P$60</f>
        <v>0</v>
      </c>
      <c r="Q41" s="13">
        <f>'TR TUSD'!$Q$41*'TR TUSD'!$Q$60</f>
        <v>90.638671302241676</v>
      </c>
      <c r="R41" s="13">
        <f>'TR TUSD'!$R$41*'TR TUSD'!$R$60</f>
        <v>14.330975493458187</v>
      </c>
      <c r="S41" s="13">
        <f>'TR TUSD'!$S$41*'TR TUSD'!$S$60</f>
        <v>0</v>
      </c>
      <c r="T41" s="13">
        <f ca="1">SUM($L$41:$S$41)</f>
        <v>107.70622653539152</v>
      </c>
      <c r="U41" s="13">
        <f>'TR TUSD'!$U$41*'TR TUSD'!$U$60</f>
        <v>0</v>
      </c>
      <c r="V41" s="13">
        <f>'TR TUSD'!$V$41*'TR TUSD'!$V$60</f>
        <v>0</v>
      </c>
      <c r="W41" s="13">
        <f>'TR TUSD'!$W$41*'TR TUSD'!$W$60</f>
        <v>0</v>
      </c>
      <c r="X41" s="13">
        <f>'TR TUSD'!$X$41*'TR TUSD'!$X$60</f>
        <v>0</v>
      </c>
      <c r="Y41" s="13">
        <f>'TR TUSD'!$Y$41*'TR TUSD'!$Y$60</f>
        <v>144.04495679769556</v>
      </c>
      <c r="Z41" s="13">
        <f>'TR TUSD'!$Z$41</f>
        <v>0</v>
      </c>
      <c r="AA41" s="13">
        <f>'TR TUSD'!$AA$41</f>
        <v>0</v>
      </c>
      <c r="AB41" s="13">
        <f>SUM($U$41:$AA$41)</f>
        <v>144.04495679769556</v>
      </c>
      <c r="AC41" s="13">
        <f>'TR TUSD'!$AC$41*'TR TUSD'!$AC$60</f>
        <v>578.69404363066212</v>
      </c>
      <c r="AD41" s="13">
        <f>SUM($AC$41:$AC$41)</f>
        <v>578.69404363066212</v>
      </c>
      <c r="AE41" s="13">
        <v>0</v>
      </c>
      <c r="AF41" s="13">
        <v>0</v>
      </c>
      <c r="AG41" s="13">
        <f>SUM($AE$41:$AF$41)</f>
        <v>0</v>
      </c>
      <c r="AH41" s="13">
        <f>'TR TUSD'!$AH$41*'TR TUSD'!$AH$60</f>
        <v>24.538663534209668</v>
      </c>
      <c r="AI41" s="13">
        <f>'TR TUSD'!$AI$41*'TR TUSD'!$AI$60</f>
        <v>0</v>
      </c>
      <c r="AJ41" s="13">
        <f ca="1">'TR TUSD'!$AJ$41*'TR TUSD'!$AJ$60</f>
        <v>0</v>
      </c>
      <c r="AK41" s="13">
        <f ca="1">'TR TUSD'!$AK$41*'TR TUSD'!$AK$60</f>
        <v>0</v>
      </c>
      <c r="AL41" s="13">
        <f ca="1">SUM($AH$41:$AK$41)</f>
        <v>24.538663534209668</v>
      </c>
      <c r="AM41" s="13">
        <f ca="1">SUMIF($L$4:$AL$4,"SUBTOTAL",$L$41:$AL$41)</f>
        <v>854.9838904979589</v>
      </c>
      <c r="AP41" s="13">
        <f>IF((1 - CUSTOS!$M$30)&lt;&gt;0,1/(1 - CUSTOS!$M$30),1)</f>
        <v>1</v>
      </c>
    </row>
    <row r="42" spans="1:42" ht="11.25" customHeight="1" x14ac:dyDescent="0.25">
      <c r="A42" s="102"/>
      <c r="B42" s="102" t="s">
        <v>82</v>
      </c>
      <c r="C42" s="102" t="s">
        <v>42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66</v>
      </c>
      <c r="I42" s="24">
        <f>'MERCADO TUSD'!$U$39</f>
        <v>0</v>
      </c>
      <c r="J42" s="15"/>
      <c r="L42" s="13">
        <f>'TR TUSD'!$L$42*'TR TUSD'!$L$60</f>
        <v>0</v>
      </c>
      <c r="M42" s="13">
        <f>'TR TUSD'!$M$42*'TR TUSD'!$M$60</f>
        <v>2.7365797396916687</v>
      </c>
      <c r="N42" s="13">
        <f ca="1">'TR TUSD'!$N$42*'TR TUSD'!$N$60</f>
        <v>0</v>
      </c>
      <c r="O42" s="13">
        <f>'TR TUSD'!$O$42*'TR TUSD'!$O$60</f>
        <v>0</v>
      </c>
      <c r="P42" s="13">
        <f>'TR TUSD'!$P$42*'TR TUSD'!$P$60</f>
        <v>0</v>
      </c>
      <c r="Q42" s="13">
        <f>'TR TUSD'!$Q$42*'TR TUSD'!$Q$60</f>
        <v>90.638671302241676</v>
      </c>
      <c r="R42" s="13">
        <f>'TR TUSD'!$R$42*'TR TUSD'!$R$60</f>
        <v>14.330975493458187</v>
      </c>
      <c r="S42" s="13">
        <f>'TR TUSD'!$S$42*'TR TUSD'!$S$60</f>
        <v>0</v>
      </c>
      <c r="T42" s="13">
        <f ca="1">SUM($L$42:$S$42)</f>
        <v>107.70622653539152</v>
      </c>
      <c r="U42" s="13">
        <f>'TR TUSD'!$U$42*'TR TUSD'!$U$60</f>
        <v>0</v>
      </c>
      <c r="V42" s="13">
        <f>'TR TUSD'!$V$42*'TR TUSD'!$V$60</f>
        <v>0</v>
      </c>
      <c r="W42" s="13">
        <f>'TR TUSD'!$W$42*'TR TUSD'!$W$60</f>
        <v>0</v>
      </c>
      <c r="X42" s="13">
        <f>'TR TUSD'!$X$42*'TR TUSD'!$X$60</f>
        <v>0</v>
      </c>
      <c r="Y42" s="13">
        <f>'TR TUSD'!$Y$42*'TR TUSD'!$Y$60</f>
        <v>144.04495679769556</v>
      </c>
      <c r="Z42" s="13">
        <f>'TR TUSD'!$Z$42</f>
        <v>0</v>
      </c>
      <c r="AA42" s="13">
        <f>'TR TUSD'!$AA$42</f>
        <v>0</v>
      </c>
      <c r="AB42" s="13">
        <f>SUM($U$42:$AA$42)</f>
        <v>144.04495679769556</v>
      </c>
      <c r="AC42" s="13">
        <f>'TR TUSD'!$AC$42*'TR TUSD'!$AC$60</f>
        <v>578.69404363066212</v>
      </c>
      <c r="AD42" s="13">
        <f>SUM($AC$42:$AC$42)</f>
        <v>578.69404363066212</v>
      </c>
      <c r="AE42" s="13">
        <v>0</v>
      </c>
      <c r="AF42" s="13">
        <v>0</v>
      </c>
      <c r="AG42" s="13">
        <f>SUM($AE$42:$AF$42)</f>
        <v>0</v>
      </c>
      <c r="AH42" s="13">
        <f>'TR TUSD'!$AH$42*'TR TUSD'!$AH$60</f>
        <v>24.538663534209668</v>
      </c>
      <c r="AI42" s="13">
        <f>'TR TUSD'!$AI$42*'TR TUSD'!$AI$60</f>
        <v>0</v>
      </c>
      <c r="AJ42" s="13">
        <f ca="1">'TR TUSD'!$AJ$42*'TR TUSD'!$AJ$60</f>
        <v>0</v>
      </c>
      <c r="AK42" s="13">
        <f ca="1">'TR TUSD'!$AK$42*'TR TUSD'!$AK$60</f>
        <v>0</v>
      </c>
      <c r="AL42" s="13">
        <f ca="1">SUM($AH$42:$AK$42)</f>
        <v>24.538663534209668</v>
      </c>
      <c r="AM42" s="13">
        <f ca="1">SUMIF($L$4:$AL$4,"SUBTOTAL",$L$42:$AL$42)</f>
        <v>854.9838904979589</v>
      </c>
      <c r="AP42" s="13">
        <f>IF((1 - CUSTOS!$M$28)&lt;&gt;0,1/(1 - CUSTOS!$M$28),1)</f>
        <v>1</v>
      </c>
    </row>
    <row r="43" spans="1:42" ht="11.25" customHeight="1" x14ac:dyDescent="0.25">
      <c r="A43" s="102"/>
      <c r="B43" s="102"/>
      <c r="C43" s="102"/>
      <c r="D43" s="23" t="s">
        <v>83</v>
      </c>
      <c r="E43" s="23" t="s">
        <v>25</v>
      </c>
      <c r="F43" s="23" t="s">
        <v>25</v>
      </c>
      <c r="G43" s="24" t="s">
        <v>70</v>
      </c>
      <c r="H43" s="24" t="s">
        <v>66</v>
      </c>
      <c r="I43" s="24">
        <f>'MERCADO TUSD'!$U$40</f>
        <v>0</v>
      </c>
      <c r="J43" s="15"/>
      <c r="L43" s="13">
        <f>'TR TUSD'!$L$43*'TR TUSD'!$L$60</f>
        <v>0</v>
      </c>
      <c r="M43" s="13">
        <f>'TR TUSD'!$M$43*'TR TUSD'!$M$60</f>
        <v>2.7365797396916687</v>
      </c>
      <c r="N43" s="13">
        <f ca="1">'TR TUSD'!$N$43*'TR TUSD'!$N$60</f>
        <v>0</v>
      </c>
      <c r="O43" s="13">
        <f>'TR TUSD'!$O$43*'TR TUSD'!$O$60</f>
        <v>0</v>
      </c>
      <c r="P43" s="13">
        <f>'TR TUSD'!$P$43*'TR TUSD'!$P$60</f>
        <v>0</v>
      </c>
      <c r="Q43" s="13">
        <f>'TR TUSD'!$Q$43*'TR TUSD'!$Q$60</f>
        <v>90.638671302241676</v>
      </c>
      <c r="R43" s="13">
        <f>'TR TUSD'!$R$43*'TR TUSD'!$R$60</f>
        <v>14.330975493458187</v>
      </c>
      <c r="S43" s="13">
        <f>'TR TUSD'!$S$43*'TR TUSD'!$S$60</f>
        <v>0</v>
      </c>
      <c r="T43" s="13">
        <f ca="1">SUM($L$43:$S$43)</f>
        <v>107.70622653539152</v>
      </c>
      <c r="U43" s="13">
        <f>'TR TUSD'!$U$43*'TR TUSD'!$U$60</f>
        <v>0</v>
      </c>
      <c r="V43" s="13">
        <f>'TR TUSD'!$V$43*'TR TUSD'!$V$60</f>
        <v>0</v>
      </c>
      <c r="W43" s="13">
        <f>'TR TUSD'!$W$43*'TR TUSD'!$W$60</f>
        <v>0</v>
      </c>
      <c r="X43" s="13">
        <f>'TR TUSD'!$X$43*'TR TUSD'!$X$60</f>
        <v>0</v>
      </c>
      <c r="Y43" s="13">
        <f>'TR TUSD'!$Y$43*'TR TUSD'!$Y$60</f>
        <v>144.04495679769556</v>
      </c>
      <c r="Z43" s="13">
        <f>'TR TUSD'!$Z$43</f>
        <v>0</v>
      </c>
      <c r="AA43" s="13">
        <f>'TR TUSD'!$AA$43</f>
        <v>0</v>
      </c>
      <c r="AB43" s="13">
        <f>SUM($U$43:$AA$43)</f>
        <v>144.04495679769556</v>
      </c>
      <c r="AC43" s="13">
        <f>'TR TUSD'!$AC$43*'TR TUSD'!$AC$60</f>
        <v>578.69404363066212</v>
      </c>
      <c r="AD43" s="13">
        <f>SUM($AC$43:$AC$43)</f>
        <v>578.69404363066212</v>
      </c>
      <c r="AE43" s="13">
        <v>0</v>
      </c>
      <c r="AF43" s="13">
        <v>0</v>
      </c>
      <c r="AG43" s="13">
        <f>SUM($AE$43:$AF$43)</f>
        <v>0</v>
      </c>
      <c r="AH43" s="13">
        <f>'TR TUSD'!$AH$43*'TR TUSD'!$AH$60</f>
        <v>24.538663534209668</v>
      </c>
      <c r="AI43" s="13">
        <f>'TR TUSD'!$AI$43*'TR TUSD'!$AI$60</f>
        <v>0</v>
      </c>
      <c r="AJ43" s="13">
        <f ca="1">'TR TUSD'!$AJ$43*'TR TUSD'!$AJ$60</f>
        <v>0</v>
      </c>
      <c r="AK43" s="13">
        <f ca="1">'TR TUSD'!$AK$43*'TR TUSD'!$AK$60</f>
        <v>0</v>
      </c>
      <c r="AL43" s="13">
        <f ca="1">SUM($AH$43:$AK$43)</f>
        <v>24.538663534209668</v>
      </c>
      <c r="AM43" s="13">
        <f ca="1">SUMIF($L$4:$AL$4,"SUBTOTAL",$L$43:$AL$43)</f>
        <v>854.9838904979589</v>
      </c>
      <c r="AP43" s="13">
        <f>IF((1 - CUSTOS!$M$29)&lt;&gt;0,1/(1 - CUSTOS!$M$29),1)</f>
        <v>1</v>
      </c>
    </row>
    <row r="44" spans="1:42" ht="11.25" customHeight="1" x14ac:dyDescent="0.25">
      <c r="A44" s="102"/>
      <c r="B44" s="102"/>
      <c r="C44" s="102"/>
      <c r="D44" s="23" t="s">
        <v>84</v>
      </c>
      <c r="E44" s="23" t="s">
        <v>25</v>
      </c>
      <c r="F44" s="23" t="s">
        <v>25</v>
      </c>
      <c r="G44" s="24" t="s">
        <v>70</v>
      </c>
      <c r="H44" s="24" t="s">
        <v>66</v>
      </c>
      <c r="I44" s="24">
        <f>'MERCADO TUSD'!$U$41</f>
        <v>0</v>
      </c>
      <c r="J44" s="15"/>
      <c r="L44" s="13">
        <f>'TR TUSD'!$L$44*'TR TUSD'!$L$60</f>
        <v>0</v>
      </c>
      <c r="M44" s="13">
        <f>'TR TUSD'!$M$44*'TR TUSD'!$M$60</f>
        <v>2.7365797396916687</v>
      </c>
      <c r="N44" s="13">
        <f ca="1">'TR TUSD'!$N$44*'TR TUSD'!$N$60</f>
        <v>0</v>
      </c>
      <c r="O44" s="13">
        <f>'TR TUSD'!$O$44*'TR TUSD'!$O$60</f>
        <v>0</v>
      </c>
      <c r="P44" s="13">
        <f>'TR TUSD'!$P$44*'TR TUSD'!$P$60</f>
        <v>0</v>
      </c>
      <c r="Q44" s="13">
        <f>'TR TUSD'!$Q$44*'TR TUSD'!$Q$60</f>
        <v>90.638671302241676</v>
      </c>
      <c r="R44" s="13">
        <f>'TR TUSD'!$R$44*'TR TUSD'!$R$60</f>
        <v>14.330975493458187</v>
      </c>
      <c r="S44" s="13">
        <f>'TR TUSD'!$S$44*'TR TUSD'!$S$60</f>
        <v>0</v>
      </c>
      <c r="T44" s="13">
        <f ca="1">SUM($L$44:$S$44)</f>
        <v>107.70622653539152</v>
      </c>
      <c r="U44" s="13">
        <f>'TR TUSD'!$U$44*'TR TUSD'!$U$60</f>
        <v>0</v>
      </c>
      <c r="V44" s="13">
        <f>'TR TUSD'!$V$44*'TR TUSD'!$V$60</f>
        <v>0</v>
      </c>
      <c r="W44" s="13">
        <f>'TR TUSD'!$W$44*'TR TUSD'!$W$60</f>
        <v>0</v>
      </c>
      <c r="X44" s="13">
        <f>'TR TUSD'!$X$44*'TR TUSD'!$X$60</f>
        <v>0</v>
      </c>
      <c r="Y44" s="13">
        <f>'TR TUSD'!$Y$44*'TR TUSD'!$Y$60</f>
        <v>144.04495679769556</v>
      </c>
      <c r="Z44" s="13">
        <f>'TR TUSD'!$Z$44</f>
        <v>0</v>
      </c>
      <c r="AA44" s="13">
        <f>'TR TUSD'!$AA$44</f>
        <v>0</v>
      </c>
      <c r="AB44" s="13">
        <f>SUM($U$44:$AA$44)</f>
        <v>144.04495679769556</v>
      </c>
      <c r="AC44" s="13">
        <f>'TR TUSD'!$AC$44*'TR TUSD'!$AC$60</f>
        <v>578.69404363066212</v>
      </c>
      <c r="AD44" s="13">
        <f>SUM($AC$44:$AC$44)</f>
        <v>578.69404363066212</v>
      </c>
      <c r="AE44" s="13">
        <v>0</v>
      </c>
      <c r="AF44" s="13">
        <v>0</v>
      </c>
      <c r="AG44" s="13">
        <f>SUM($AE$44:$AF$44)</f>
        <v>0</v>
      </c>
      <c r="AH44" s="13">
        <f>'TR TUSD'!$AH$44*'TR TUSD'!$AH$60</f>
        <v>24.538663534209668</v>
      </c>
      <c r="AI44" s="13">
        <f>'TR TUSD'!$AI$44*'TR TUSD'!$AI$60</f>
        <v>0</v>
      </c>
      <c r="AJ44" s="13">
        <f ca="1">'TR TUSD'!$AJ$44*'TR TUSD'!$AJ$60</f>
        <v>0</v>
      </c>
      <c r="AK44" s="13">
        <f ca="1">'TR TUSD'!$AK$44*'TR TUSD'!$AK$60</f>
        <v>0</v>
      </c>
      <c r="AL44" s="13">
        <f ca="1">SUM($AH$44:$AK$44)</f>
        <v>24.538663534209668</v>
      </c>
      <c r="AM44" s="13">
        <f ca="1">SUMIF($L$4:$AL$4,"SUBTOTAL",$L$44:$AL$44)</f>
        <v>854.9838904979589</v>
      </c>
      <c r="AP44" s="13">
        <f>IF((1 - CUSTOS!$M$30)&lt;&gt;0,1/(1 - CUSTOS!$M$30),1)</f>
        <v>1</v>
      </c>
    </row>
    <row r="45" spans="1:42" ht="11.25" customHeight="1" x14ac:dyDescent="0.25">
      <c r="A45" s="102" t="s">
        <v>37</v>
      </c>
      <c r="B45" s="102" t="s">
        <v>33</v>
      </c>
      <c r="C45" s="102" t="s">
        <v>25</v>
      </c>
      <c r="D45" s="102" t="s">
        <v>25</v>
      </c>
      <c r="E45" s="102" t="s">
        <v>25</v>
      </c>
      <c r="F45" s="102" t="s">
        <v>25</v>
      </c>
      <c r="G45" s="24" t="s">
        <v>67</v>
      </c>
      <c r="H45" s="24" t="s">
        <v>66</v>
      </c>
      <c r="I45" s="24">
        <f>'MERCADO TUSD'!$U$42</f>
        <v>0</v>
      </c>
      <c r="J45" s="15"/>
      <c r="L45" s="13">
        <f>'TR TUSD'!$L$45*'TR TUSD'!$L$60</f>
        <v>0</v>
      </c>
      <c r="M45" s="13">
        <f>'TR TUSD'!$M$45*'TR TUSD'!$M$60</f>
        <v>2.7365797396916687</v>
      </c>
      <c r="N45" s="13">
        <f ca="1">'TR TUSD'!$N$45*'TR TUSD'!$N$60</f>
        <v>0</v>
      </c>
      <c r="O45" s="13">
        <f>'TR TUSD'!$O$45*'TR TUSD'!$O$60</f>
        <v>0</v>
      </c>
      <c r="P45" s="13">
        <f>'TR TUSD'!$P$45*'TR TUSD'!$P$60</f>
        <v>0</v>
      </c>
      <c r="Q45" s="13">
        <f>'TR TUSD'!$Q$45*'TR TUSD'!$Q$60</f>
        <v>90.638671302241676</v>
      </c>
      <c r="R45" s="13">
        <f>'TR TUSD'!$R$45*'TR TUSD'!$R$60</f>
        <v>14.330975493458187</v>
      </c>
      <c r="S45" s="13">
        <f>'TR TUSD'!$S$45*'TR TUSD'!$S$60</f>
        <v>0</v>
      </c>
      <c r="T45" s="13">
        <f ca="1">SUM($L$45:$S$45)</f>
        <v>107.70622653539152</v>
      </c>
      <c r="U45" s="13">
        <f>'TR TUSD'!$U$45*'TR TUSD'!$U$60</f>
        <v>0</v>
      </c>
      <c r="V45" s="13">
        <f>'TR TUSD'!$V$45*'TR TUSD'!$V$60</f>
        <v>0</v>
      </c>
      <c r="W45" s="13">
        <f>'TR TUSD'!$W$45*'TR TUSD'!$W$60</f>
        <v>0</v>
      </c>
      <c r="X45" s="13">
        <f>'TR TUSD'!$X$45*'TR TUSD'!$X$60</f>
        <v>0</v>
      </c>
      <c r="Y45" s="13">
        <f>'TR TUSD'!$Y$45*'TR TUSD'!$Y$60</f>
        <v>496.87378604743031</v>
      </c>
      <c r="Z45" s="13">
        <f>'TR TUSD'!$Z$45</f>
        <v>0</v>
      </c>
      <c r="AA45" s="13">
        <f>'TR TUSD'!$AA$45</f>
        <v>0</v>
      </c>
      <c r="AB45" s="13">
        <f>SUM($U$45:$AA$45)</f>
        <v>496.87378604743031</v>
      </c>
      <c r="AC45" s="13">
        <f>'TR TUSD'!$AC$45*'TR TUSD'!$AC$60</f>
        <v>1996.4944679504742</v>
      </c>
      <c r="AD45" s="13">
        <f>SUM($AC$45:$AC$45)</f>
        <v>1996.4944679504742</v>
      </c>
      <c r="AE45" s="13">
        <v>0</v>
      </c>
      <c r="AF45" s="13">
        <v>0</v>
      </c>
      <c r="AG45" s="13">
        <f>SUM($AE$45:$AF$45)</f>
        <v>0</v>
      </c>
      <c r="AH45" s="13">
        <f>'TR TUSD'!$AH$45*'TR TUSD'!$AH$60</f>
        <v>24.538663534209668</v>
      </c>
      <c r="AI45" s="13">
        <f>'TR TUSD'!$AI$45*'TR TUSD'!$AI$60</f>
        <v>0</v>
      </c>
      <c r="AJ45" s="13">
        <f ca="1">'TR TUSD'!$AJ$45*'TR TUSD'!$AJ$60</f>
        <v>0</v>
      </c>
      <c r="AK45" s="13">
        <f ca="1">'TR TUSD'!$AK$45*'TR TUSD'!$AK$60</f>
        <v>0</v>
      </c>
      <c r="AL45" s="13">
        <f ca="1">SUM($AH$45:$AK$45)</f>
        <v>24.538663534209668</v>
      </c>
      <c r="AM45" s="13">
        <f ca="1">SUMIF($L$4:$AL$4,"SUBTOTAL",$L$45:$AL$45)</f>
        <v>2625.6131440675058</v>
      </c>
      <c r="AP45" s="13">
        <f>IF((1 - CUSTOS!$M$31)&lt;&gt;0,1/(1 - CUSTOS!$M$31),1)</f>
        <v>1</v>
      </c>
    </row>
    <row r="46" spans="1:42" ht="11.25" customHeight="1" x14ac:dyDescent="0.25">
      <c r="A46" s="102"/>
      <c r="B46" s="102"/>
      <c r="C46" s="102"/>
      <c r="D46" s="102"/>
      <c r="E46" s="102"/>
      <c r="F46" s="102"/>
      <c r="G46" s="24" t="s">
        <v>80</v>
      </c>
      <c r="H46" s="24" t="s">
        <v>66</v>
      </c>
      <c r="I46" s="24">
        <f>'MERCADO TUSD'!$U$43</f>
        <v>0</v>
      </c>
      <c r="J46" s="15"/>
      <c r="L46" s="13">
        <f>'TR TUSD'!$L$46*'TR TUSD'!$L$60</f>
        <v>0</v>
      </c>
      <c r="M46" s="13">
        <f>'TR TUSD'!$M$46*'TR TUSD'!$M$60</f>
        <v>2.7365797396916687</v>
      </c>
      <c r="N46" s="13">
        <f ca="1">'TR TUSD'!$N$46*'TR TUSD'!$N$60</f>
        <v>0</v>
      </c>
      <c r="O46" s="13">
        <f>'TR TUSD'!$O$46*'TR TUSD'!$O$60</f>
        <v>0</v>
      </c>
      <c r="P46" s="13">
        <f>'TR TUSD'!$P$46*'TR TUSD'!$P$60</f>
        <v>0</v>
      </c>
      <c r="Q46" s="13">
        <f>'TR TUSD'!$Q$46*'TR TUSD'!$Q$60</f>
        <v>90.638671302241676</v>
      </c>
      <c r="R46" s="13">
        <f>'TR TUSD'!$R$46*'TR TUSD'!$R$60</f>
        <v>14.330975493458187</v>
      </c>
      <c r="S46" s="13">
        <f>'TR TUSD'!$S$46*'TR TUSD'!$S$60</f>
        <v>0</v>
      </c>
      <c r="T46" s="13">
        <f ca="1">SUM($L$46:$S$46)</f>
        <v>107.70622653539152</v>
      </c>
      <c r="U46" s="13">
        <f>'TR TUSD'!$U$46*'TR TUSD'!$U$60</f>
        <v>0</v>
      </c>
      <c r="V46" s="13">
        <f>'TR TUSD'!$V$46*'TR TUSD'!$V$60</f>
        <v>0</v>
      </c>
      <c r="W46" s="13">
        <f>'TR TUSD'!$W$46*'TR TUSD'!$W$60</f>
        <v>0</v>
      </c>
      <c r="X46" s="13">
        <f>'TR TUSD'!$X$46*'TR TUSD'!$X$60</f>
        <v>0</v>
      </c>
      <c r="Y46" s="13">
        <f>'TR TUSD'!$Y$46*'TR TUSD'!$Y$60</f>
        <v>298.05953587450125</v>
      </c>
      <c r="Z46" s="13">
        <f>'TR TUSD'!$Z$46</f>
        <v>0</v>
      </c>
      <c r="AA46" s="13">
        <f>'TR TUSD'!$AA$46</f>
        <v>0</v>
      </c>
      <c r="AB46" s="13">
        <f>SUM($U$46:$AA$46)</f>
        <v>298.05953587450125</v>
      </c>
      <c r="AC46" s="13">
        <f>'TR TUSD'!$AC$46*'TR TUSD'!$AC$60</f>
        <v>1197.8967737019634</v>
      </c>
      <c r="AD46" s="13">
        <f>SUM($AC$46:$AC$46)</f>
        <v>1197.8967737019634</v>
      </c>
      <c r="AE46" s="13">
        <v>0</v>
      </c>
      <c r="AF46" s="13">
        <v>0</v>
      </c>
      <c r="AG46" s="13">
        <f>SUM($AE$46:$AF$46)</f>
        <v>0</v>
      </c>
      <c r="AH46" s="13">
        <f>'TR TUSD'!$AH$46*'TR TUSD'!$AH$60</f>
        <v>24.538663534209668</v>
      </c>
      <c r="AI46" s="13">
        <f>'TR TUSD'!$AI$46*'TR TUSD'!$AI$60</f>
        <v>0</v>
      </c>
      <c r="AJ46" s="13">
        <f ca="1">'TR TUSD'!$AJ$46*'TR TUSD'!$AJ$60</f>
        <v>0</v>
      </c>
      <c r="AK46" s="13">
        <f ca="1">'TR TUSD'!$AK$46*'TR TUSD'!$AK$60</f>
        <v>0</v>
      </c>
      <c r="AL46" s="13">
        <f ca="1">SUM($AH$46:$AK$46)</f>
        <v>24.538663534209668</v>
      </c>
      <c r="AM46" s="13">
        <f ca="1">SUMIF($L$4:$AL$4,"SUBTOTAL",$L$46:$AL$46)</f>
        <v>1628.201199646066</v>
      </c>
      <c r="AP46" s="13">
        <f>IF((1 - CUSTOS!$M$31)&lt;&gt;0,1/(1 - CUSTOS!$M$31),1)</f>
        <v>1</v>
      </c>
    </row>
    <row r="47" spans="1:42" ht="11.25" customHeight="1" x14ac:dyDescent="0.25">
      <c r="A47" s="102"/>
      <c r="B47" s="102"/>
      <c r="C47" s="102"/>
      <c r="D47" s="102"/>
      <c r="E47" s="102"/>
      <c r="F47" s="102"/>
      <c r="G47" s="24" t="s">
        <v>68</v>
      </c>
      <c r="H47" s="24" t="s">
        <v>66</v>
      </c>
      <c r="I47" s="24">
        <f>'MERCADO TUSD'!$U$44</f>
        <v>0</v>
      </c>
      <c r="J47" s="15"/>
      <c r="L47" s="13">
        <f>'TR TUSD'!$L$47*'TR TUSD'!$L$60</f>
        <v>0</v>
      </c>
      <c r="M47" s="13">
        <f>'TR TUSD'!$M$47*'TR TUSD'!$M$60</f>
        <v>2.7365797396916687</v>
      </c>
      <c r="N47" s="13">
        <f ca="1">'TR TUSD'!$N$47*'TR TUSD'!$N$60</f>
        <v>0</v>
      </c>
      <c r="O47" s="13">
        <f>'TR TUSD'!$O$47*'TR TUSD'!$O$60</f>
        <v>0</v>
      </c>
      <c r="P47" s="13">
        <f>'TR TUSD'!$P$47*'TR TUSD'!$P$60</f>
        <v>0</v>
      </c>
      <c r="Q47" s="13">
        <f>'TR TUSD'!$Q$47*'TR TUSD'!$Q$60</f>
        <v>90.638671302241676</v>
      </c>
      <c r="R47" s="13">
        <f>'TR TUSD'!$R$47*'TR TUSD'!$R$60</f>
        <v>14.330975493458187</v>
      </c>
      <c r="S47" s="13">
        <f>'TR TUSD'!$S$47*'TR TUSD'!$S$60</f>
        <v>0</v>
      </c>
      <c r="T47" s="13">
        <f ca="1">SUM($L$47:$S$47)</f>
        <v>107.70622653539152</v>
      </c>
      <c r="U47" s="13">
        <f>'TR TUSD'!$U$47*'TR TUSD'!$U$60</f>
        <v>0</v>
      </c>
      <c r="V47" s="13">
        <f>'TR TUSD'!$V$47*'TR TUSD'!$V$60</f>
        <v>0</v>
      </c>
      <c r="W47" s="13">
        <f>'TR TUSD'!$W$47*'TR TUSD'!$W$60</f>
        <v>0</v>
      </c>
      <c r="X47" s="13">
        <f>'TR TUSD'!$X$47*'TR TUSD'!$X$60</f>
        <v>0</v>
      </c>
      <c r="Y47" s="13">
        <f>'TR TUSD'!$Y$47*'TR TUSD'!$Y$60</f>
        <v>99.374783556964275</v>
      </c>
      <c r="Z47" s="13">
        <f>'TR TUSD'!$Z$47</f>
        <v>0</v>
      </c>
      <c r="AA47" s="13">
        <f>'TR TUSD'!$AA$47</f>
        <v>0</v>
      </c>
      <c r="AB47" s="13">
        <f>SUM($U$47:$AA$47)</f>
        <v>99.374783556964275</v>
      </c>
      <c r="AC47" s="13">
        <f>'TR TUSD'!$AC$47*'TR TUSD'!$AC$60</f>
        <v>399.29884712425547</v>
      </c>
      <c r="AD47" s="13">
        <f>SUM($AC$47:$AC$47)</f>
        <v>399.29884712425547</v>
      </c>
      <c r="AE47" s="13">
        <v>0</v>
      </c>
      <c r="AF47" s="13">
        <v>0</v>
      </c>
      <c r="AG47" s="13">
        <f>SUM($AE$47:$AF$47)</f>
        <v>0</v>
      </c>
      <c r="AH47" s="13">
        <f>'TR TUSD'!$AH$47*'TR TUSD'!$AH$60</f>
        <v>24.538663534209668</v>
      </c>
      <c r="AI47" s="13">
        <f>'TR TUSD'!$AI$47*'TR TUSD'!$AI$60</f>
        <v>0</v>
      </c>
      <c r="AJ47" s="13">
        <f ca="1">'TR TUSD'!$AJ$47*'TR TUSD'!$AJ$60</f>
        <v>0</v>
      </c>
      <c r="AK47" s="13">
        <f ca="1">'TR TUSD'!$AK$47*'TR TUSD'!$AK$60</f>
        <v>0</v>
      </c>
      <c r="AL47" s="13">
        <f ca="1">SUM($AH$47:$AK$47)</f>
        <v>24.538663534209668</v>
      </c>
      <c r="AM47" s="13">
        <f ca="1">SUMIF($L$4:$AL$4,"SUBTOTAL",$L$47:$AL$47)</f>
        <v>630.91852075082102</v>
      </c>
      <c r="AP47" s="13">
        <f>IF((1 - CUSTOS!$M$31)&lt;&gt;0,1/(1 - CUSTOS!$M$31),1)</f>
        <v>1</v>
      </c>
    </row>
    <row r="48" spans="1:42" ht="11.25" customHeight="1" x14ac:dyDescent="0.25">
      <c r="A48" s="102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66</v>
      </c>
      <c r="I48" s="24">
        <f>'MERCADO TUSD'!$U$45</f>
        <v>1464.15</v>
      </c>
      <c r="J48" s="15"/>
      <c r="L48" s="13">
        <f>'TR TUSD'!$L$48*'TR TUSD'!$L$60</f>
        <v>0</v>
      </c>
      <c r="M48" s="13">
        <f>'TR TUSD'!$M$48*'TR TUSD'!$M$60</f>
        <v>2.7365797396916687</v>
      </c>
      <c r="N48" s="13">
        <f ca="1">'TR TUSD'!$N$48*'TR TUSD'!$N$60</f>
        <v>0</v>
      </c>
      <c r="O48" s="13">
        <f>'TR TUSD'!$O$48*'TR TUSD'!$O$60</f>
        <v>0</v>
      </c>
      <c r="P48" s="13">
        <f>'TR TUSD'!$P$48*'TR TUSD'!$P$60</f>
        <v>0</v>
      </c>
      <c r="Q48" s="13">
        <f>'TR TUSD'!$Q$48*'TR TUSD'!$Q$60</f>
        <v>90.638671302241676</v>
      </c>
      <c r="R48" s="13">
        <f>'TR TUSD'!$R$48*'TR TUSD'!$R$60</f>
        <v>14.330975493458187</v>
      </c>
      <c r="S48" s="13">
        <f>'TR TUSD'!$S$48*'TR TUSD'!$S$60</f>
        <v>0</v>
      </c>
      <c r="T48" s="13">
        <f ca="1">SUM($L$48:$S$48)</f>
        <v>107.70622653539152</v>
      </c>
      <c r="U48" s="13">
        <f>'TR TUSD'!$U$48*'TR TUSD'!$U$60</f>
        <v>0</v>
      </c>
      <c r="V48" s="13">
        <f>'TR TUSD'!$V$48*'TR TUSD'!$V$60</f>
        <v>0</v>
      </c>
      <c r="W48" s="13">
        <f>'TR TUSD'!$W$48*'TR TUSD'!$W$60</f>
        <v>0</v>
      </c>
      <c r="X48" s="13">
        <f>'TR TUSD'!$X$48*'TR TUSD'!$X$60</f>
        <v>0</v>
      </c>
      <c r="Y48" s="13">
        <f>'TR TUSD'!$Y$48*'TR TUSD'!$Y$60</f>
        <v>144.04495679769556</v>
      </c>
      <c r="Z48" s="13">
        <f>'TR TUSD'!$Z$48</f>
        <v>0</v>
      </c>
      <c r="AA48" s="13">
        <f>'TR TUSD'!$AA$48</f>
        <v>0</v>
      </c>
      <c r="AB48" s="13">
        <f>SUM($U$48:$AA$48)</f>
        <v>144.04495679769556</v>
      </c>
      <c r="AC48" s="13">
        <f>'TR TUSD'!$AC$48*'TR TUSD'!$AC$60</f>
        <v>578.69404363066212</v>
      </c>
      <c r="AD48" s="13">
        <f>SUM($AC$48:$AC$48)</f>
        <v>578.69404363066212</v>
      </c>
      <c r="AE48" s="13">
        <v>0</v>
      </c>
      <c r="AF48" s="13">
        <v>0</v>
      </c>
      <c r="AG48" s="13">
        <f>SUM($AE$48:$AF$48)</f>
        <v>0</v>
      </c>
      <c r="AH48" s="13">
        <f>'TR TUSD'!$AH$48*'TR TUSD'!$AH$60</f>
        <v>24.538663534209668</v>
      </c>
      <c r="AI48" s="13">
        <f>'TR TUSD'!$AI$48*'TR TUSD'!$AI$60</f>
        <v>0</v>
      </c>
      <c r="AJ48" s="13">
        <f ca="1">'TR TUSD'!$AJ$48*'TR TUSD'!$AJ$60</f>
        <v>0</v>
      </c>
      <c r="AK48" s="13">
        <f ca="1">'TR TUSD'!$AK$48*'TR TUSD'!$AK$60</f>
        <v>0</v>
      </c>
      <c r="AL48" s="13">
        <f ca="1">SUM($AH$48:$AK$48)</f>
        <v>24.538663534209668</v>
      </c>
      <c r="AM48" s="13">
        <f ca="1">SUMIF($L$4:$AL$4,"SUBTOTAL",$L$48:$AL$48)</f>
        <v>854.9838904979589</v>
      </c>
      <c r="AP48" s="13">
        <f>IF((1 - CUSTOS!$M$31)&lt;&gt;0,1/(1 - CUSTOS!$M$31),1)</f>
        <v>1</v>
      </c>
    </row>
    <row r="49" spans="1:42" ht="11.25" customHeight="1" x14ac:dyDescent="0.25">
      <c r="A49" s="102"/>
      <c r="B49" s="23" t="s">
        <v>82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66</v>
      </c>
      <c r="I49" s="24">
        <f>'MERCADO TUSD'!$U$46</f>
        <v>0</v>
      </c>
      <c r="J49" s="15"/>
      <c r="L49" s="13">
        <f>'TR TUSD'!$L$49*'TR TUSD'!$L$60</f>
        <v>0</v>
      </c>
      <c r="M49" s="13">
        <f>'TR TUSD'!$M$49*'TR TUSD'!$M$60</f>
        <v>2.7365797396916687</v>
      </c>
      <c r="N49" s="13">
        <f ca="1">'TR TUSD'!$N$49*'TR TUSD'!$N$60</f>
        <v>0</v>
      </c>
      <c r="O49" s="13">
        <f>'TR TUSD'!$O$49*'TR TUSD'!$O$60</f>
        <v>0</v>
      </c>
      <c r="P49" s="13">
        <f>'TR TUSD'!$P$49*'TR TUSD'!$P$60</f>
        <v>0</v>
      </c>
      <c r="Q49" s="13">
        <f>'TR TUSD'!$Q$49*'TR TUSD'!$Q$60</f>
        <v>90.638671302241676</v>
      </c>
      <c r="R49" s="13">
        <f>'TR TUSD'!$R$49*'TR TUSD'!$R$60</f>
        <v>14.330975493458187</v>
      </c>
      <c r="S49" s="13">
        <f>'TR TUSD'!$S$49*'TR TUSD'!$S$60</f>
        <v>0</v>
      </c>
      <c r="T49" s="13">
        <f ca="1">SUM($L$49:$S$49)</f>
        <v>107.70622653539152</v>
      </c>
      <c r="U49" s="13">
        <f>'TR TUSD'!$U$49*'TR TUSD'!$U$60</f>
        <v>0</v>
      </c>
      <c r="V49" s="13">
        <f>'TR TUSD'!$V$49*'TR TUSD'!$V$60</f>
        <v>0</v>
      </c>
      <c r="W49" s="13">
        <f>'TR TUSD'!$W$49*'TR TUSD'!$W$60</f>
        <v>0</v>
      </c>
      <c r="X49" s="13">
        <f>'TR TUSD'!$X$49*'TR TUSD'!$X$60</f>
        <v>0</v>
      </c>
      <c r="Y49" s="13">
        <f>'TR TUSD'!$Y$49*'TR TUSD'!$Y$60</f>
        <v>144.04495679769556</v>
      </c>
      <c r="Z49" s="13">
        <f>'TR TUSD'!$Z$49</f>
        <v>0</v>
      </c>
      <c r="AA49" s="13">
        <f>'TR TUSD'!$AA$49</f>
        <v>0</v>
      </c>
      <c r="AB49" s="13">
        <f>SUM($U$49:$AA$49)</f>
        <v>144.04495679769556</v>
      </c>
      <c r="AC49" s="13">
        <f>'TR TUSD'!$AC$49*'TR TUSD'!$AC$60</f>
        <v>578.69404363066212</v>
      </c>
      <c r="AD49" s="13">
        <f>SUM($AC$49:$AC$49)</f>
        <v>578.69404363066212</v>
      </c>
      <c r="AE49" s="13">
        <v>0</v>
      </c>
      <c r="AF49" s="13">
        <v>0</v>
      </c>
      <c r="AG49" s="13">
        <f>SUM($AE$49:$AF$49)</f>
        <v>0</v>
      </c>
      <c r="AH49" s="13">
        <f>'TR TUSD'!$AH$49*'TR TUSD'!$AH$60</f>
        <v>24.538663534209668</v>
      </c>
      <c r="AI49" s="13">
        <f>'TR TUSD'!$AI$49*'TR TUSD'!$AI$60</f>
        <v>0</v>
      </c>
      <c r="AJ49" s="13">
        <f ca="1">'TR TUSD'!$AJ$49*'TR TUSD'!$AJ$60</f>
        <v>0</v>
      </c>
      <c r="AK49" s="13">
        <f ca="1">'TR TUSD'!$AK$49*'TR TUSD'!$AK$60</f>
        <v>0</v>
      </c>
      <c r="AL49" s="13">
        <f ca="1">SUM($AH$49:$AK$49)</f>
        <v>24.538663534209668</v>
      </c>
      <c r="AM49" s="13">
        <f ca="1">SUMIF($L$4:$AL$4,"SUBTOTAL",$L$49:$AL$49)</f>
        <v>854.9838904979589</v>
      </c>
      <c r="AP49" s="13">
        <f>IF((1 - CUSTOS!$M$31)&lt;&gt;0,1/(1 - CUSTOS!$M$31),1)</f>
        <v>1</v>
      </c>
    </row>
    <row r="50" spans="1:42" ht="11.25" customHeight="1" x14ac:dyDescent="0.25">
      <c r="A50" s="102" t="s">
        <v>44</v>
      </c>
      <c r="B50" s="102" t="s">
        <v>23</v>
      </c>
      <c r="C50" s="102" t="s">
        <v>45</v>
      </c>
      <c r="D50" s="23" t="s">
        <v>46</v>
      </c>
      <c r="E50" s="23" t="s">
        <v>25</v>
      </c>
      <c r="F50" s="23" t="s">
        <v>25</v>
      </c>
      <c r="G50" s="24" t="s">
        <v>70</v>
      </c>
      <c r="H50" s="24" t="s">
        <v>66</v>
      </c>
      <c r="I50" s="24">
        <f>'MERCADO TUSD'!$U$47</f>
        <v>491.28100000000001</v>
      </c>
      <c r="J50" s="15"/>
      <c r="L50" s="13">
        <f>'TR TUSD'!$L$50*'TR TUSD'!$L$60</f>
        <v>0</v>
      </c>
      <c r="M50" s="13">
        <f>'TR TUSD'!$M$50*'TR TUSD'!$M$60</f>
        <v>1.5051188568304179</v>
      </c>
      <c r="N50" s="13">
        <f ca="1">'TR TUSD'!$N$50*'TR TUSD'!$N$60</f>
        <v>0</v>
      </c>
      <c r="O50" s="13">
        <f>'TR TUSD'!$O$50*'TR TUSD'!$O$60</f>
        <v>0</v>
      </c>
      <c r="P50" s="13">
        <f>'TR TUSD'!$P$50*'TR TUSD'!$P$60</f>
        <v>0</v>
      </c>
      <c r="Q50" s="13">
        <f>'TR TUSD'!$Q$50*'TR TUSD'!$Q$60</f>
        <v>49.851269216232929</v>
      </c>
      <c r="R50" s="13">
        <f>'TR TUSD'!$R$50*'TR TUSD'!$R$60</f>
        <v>7.8820365214020036</v>
      </c>
      <c r="S50" s="13">
        <f>'TR TUSD'!$S$50*'TR TUSD'!$S$60</f>
        <v>0</v>
      </c>
      <c r="T50" s="13">
        <f ca="1">SUM($L$50:$S$50)</f>
        <v>59.238424594465357</v>
      </c>
      <c r="U50" s="13">
        <f>'TR TUSD'!$U$50*'TR TUSD'!$U$60</f>
        <v>0</v>
      </c>
      <c r="V50" s="13">
        <f>'TR TUSD'!$V$50*'TR TUSD'!$V$60</f>
        <v>0</v>
      </c>
      <c r="W50" s="13">
        <f>'TR TUSD'!$W$50*'TR TUSD'!$W$60</f>
        <v>0</v>
      </c>
      <c r="X50" s="13">
        <f>'TR TUSD'!$X$50*'TR TUSD'!$X$60</f>
        <v>0</v>
      </c>
      <c r="Y50" s="13">
        <f>'TR TUSD'!$Y$50*'TR TUSD'!$Y$60</f>
        <v>79.224726238732558</v>
      </c>
      <c r="Z50" s="13">
        <f>'TR TUSD'!$Z$50</f>
        <v>0</v>
      </c>
      <c r="AA50" s="13">
        <f>'TR TUSD'!$AA$50</f>
        <v>0</v>
      </c>
      <c r="AB50" s="13">
        <f>SUM($U$50:$AA$50)</f>
        <v>79.224726238732558</v>
      </c>
      <c r="AC50" s="13">
        <f>'TR TUSD'!$AC$50*'TR TUSD'!$AC$60</f>
        <v>318.28172399686423</v>
      </c>
      <c r="AD50" s="13">
        <f>SUM($AC$50:$AC$50)</f>
        <v>318.28172399686423</v>
      </c>
      <c r="AE50" s="13">
        <v>0</v>
      </c>
      <c r="AF50" s="13">
        <v>0</v>
      </c>
      <c r="AG50" s="13">
        <f>SUM($AE$50:$AF$50)</f>
        <v>0</v>
      </c>
      <c r="AH50" s="13">
        <f>'TR TUSD'!$AH$50*'TR TUSD'!$AH$60</f>
        <v>13.496264943815317</v>
      </c>
      <c r="AI50" s="13">
        <f>'TR TUSD'!$AI$50*'TR TUSD'!$AI$60</f>
        <v>0</v>
      </c>
      <c r="AJ50" s="13">
        <f ca="1">'TR TUSD'!$AJ$50*'TR TUSD'!$AJ$60</f>
        <v>0</v>
      </c>
      <c r="AK50" s="13">
        <f ca="1">'TR TUSD'!$AK$50*'TR TUSD'!$AK$60</f>
        <v>0</v>
      </c>
      <c r="AL50" s="13">
        <f ca="1">SUM($AH$50:$AK$50)</f>
        <v>13.496264943815317</v>
      </c>
      <c r="AM50" s="13">
        <f ca="1">SUMIF($L$4:$AL$4,"SUBTOTAL",$L$50:$AL$50)</f>
        <v>470.24113977387748</v>
      </c>
      <c r="AP50" s="13">
        <f>IF((1 - CUSTOS!$M$32)&lt;&gt;0,1/(1 - CUSTOS!$M$32),1)</f>
        <v>1.8181818181818181</v>
      </c>
    </row>
    <row r="51" spans="1:42" ht="11.25" customHeight="1" x14ac:dyDescent="0.25">
      <c r="A51" s="102"/>
      <c r="B51" s="102"/>
      <c r="C51" s="102"/>
      <c r="D51" s="24" t="s">
        <v>85</v>
      </c>
      <c r="E51" s="24" t="s">
        <v>25</v>
      </c>
      <c r="F51" s="24" t="s">
        <v>25</v>
      </c>
      <c r="G51" s="24" t="s">
        <v>70</v>
      </c>
      <c r="H51" s="24" t="s">
        <v>66</v>
      </c>
      <c r="I51" s="24">
        <f>'MERCADO TUSD'!$U$48</f>
        <v>0</v>
      </c>
      <c r="J51" s="15"/>
      <c r="L51" s="13">
        <f>'TR TUSD'!$L$51*'TR TUSD'!$L$60</f>
        <v>0</v>
      </c>
      <c r="M51" s="13">
        <f>'TR TUSD'!$M$51*'TR TUSD'!$M$60</f>
        <v>1.641947843815001</v>
      </c>
      <c r="N51" s="13">
        <f ca="1">'TR TUSD'!$N$51*'TR TUSD'!$N$60</f>
        <v>0</v>
      </c>
      <c r="O51" s="13">
        <f>'TR TUSD'!$O$51*'TR TUSD'!$O$60</f>
        <v>0</v>
      </c>
      <c r="P51" s="13">
        <f>'TR TUSD'!$P$51*'TR TUSD'!$P$60</f>
        <v>0</v>
      </c>
      <c r="Q51" s="13">
        <f>'TR TUSD'!$Q$51*'TR TUSD'!$Q$60</f>
        <v>54.383202781345005</v>
      </c>
      <c r="R51" s="13">
        <f>'TR TUSD'!$R$51*'TR TUSD'!$R$60</f>
        <v>8.5985852960749121</v>
      </c>
      <c r="S51" s="13">
        <f>'TR TUSD'!$S$51*'TR TUSD'!$S$60</f>
        <v>0</v>
      </c>
      <c r="T51" s="13">
        <f ca="1">SUM($L$51:$S$51)</f>
        <v>64.623735921234925</v>
      </c>
      <c r="U51" s="13">
        <f>'TR TUSD'!$U$51*'TR TUSD'!$U$60</f>
        <v>0</v>
      </c>
      <c r="V51" s="13">
        <f>'TR TUSD'!$V$51*'TR TUSD'!$V$60</f>
        <v>0</v>
      </c>
      <c r="W51" s="13">
        <f>'TR TUSD'!$W$51*'TR TUSD'!$W$60</f>
        <v>0</v>
      </c>
      <c r="X51" s="13">
        <f>'TR TUSD'!$X$51*'TR TUSD'!$X$60</f>
        <v>0</v>
      </c>
      <c r="Y51" s="13">
        <f>'TR TUSD'!$Y$51*'TR TUSD'!$Y$60</f>
        <v>86.42697407861732</v>
      </c>
      <c r="Z51" s="13">
        <f>'TR TUSD'!$Z$51</f>
        <v>0</v>
      </c>
      <c r="AA51" s="13">
        <f>'TR TUSD'!$AA$51</f>
        <v>0</v>
      </c>
      <c r="AB51" s="13">
        <f>SUM($U$51:$AA$51)</f>
        <v>86.42697407861732</v>
      </c>
      <c r="AC51" s="13">
        <f>'TR TUSD'!$AC$51*'TR TUSD'!$AC$60</f>
        <v>347.21642617839728</v>
      </c>
      <c r="AD51" s="13">
        <f>SUM($AC$51:$AC$51)</f>
        <v>347.21642617839728</v>
      </c>
      <c r="AE51" s="13">
        <v>0</v>
      </c>
      <c r="AF51" s="13">
        <v>0</v>
      </c>
      <c r="AG51" s="13">
        <f>SUM($AE$51:$AF$51)</f>
        <v>0</v>
      </c>
      <c r="AH51" s="13">
        <f>'TR TUSD'!$AH$51*'TR TUSD'!$AH$60</f>
        <v>14.723198120525799</v>
      </c>
      <c r="AI51" s="13">
        <f>'TR TUSD'!$AI$51*'TR TUSD'!$AI$60</f>
        <v>0</v>
      </c>
      <c r="AJ51" s="13">
        <f ca="1">'TR TUSD'!$AJ$51*'TR TUSD'!$AJ$60</f>
        <v>0</v>
      </c>
      <c r="AK51" s="13">
        <f ca="1">'TR TUSD'!$AK$51*'TR TUSD'!$AK$60</f>
        <v>0</v>
      </c>
      <c r="AL51" s="13">
        <f ca="1">SUM($AH$51:$AK$51)</f>
        <v>14.723198120525799</v>
      </c>
      <c r="AM51" s="13">
        <f ca="1">SUMIF($L$4:$AL$4,"SUBTOTAL",$L$51:$AL$51)</f>
        <v>512.99033429877534</v>
      </c>
      <c r="AP51" s="13">
        <f>IF((1 - CUSTOS!$M$33)&lt;&gt;0,1/(1 - CUSTOS!$M$33),1)</f>
        <v>1.6666666666666667</v>
      </c>
    </row>
    <row r="53" spans="1:42" ht="11.25" customHeight="1" x14ac:dyDescent="0.25">
      <c r="K53" s="16" t="s">
        <v>509</v>
      </c>
      <c r="L53" s="13">
        <f>SUMPRODUCT($I$5:$I51,$L$5:$L51)</f>
        <v>0</v>
      </c>
      <c r="M53" s="13">
        <f>SUMPRODUCT($I$5:$I51,$M$5:$M51)</f>
        <v>42024.992316025076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1389890.3980500002</v>
      </c>
      <c r="R53" s="13">
        <f>SUMPRODUCT($I$5:$I51,$R$5:$R51)</f>
        <v>222749.78508000006</v>
      </c>
      <c r="S53" s="13">
        <f>SUMPRODUCT($I$5:$I51,$S$5:$S51)</f>
        <v>0</v>
      </c>
      <c r="T53" s="13">
        <f ca="1">SUMPRODUCT($I$5:$I51,$T$5:$T51)</f>
        <v>1654665.1754460256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2300281.9677699995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2300281.9677699995</v>
      </c>
      <c r="AC53" s="13">
        <f>SUMPRODUCT($I$5:$I51,$AC$5:$AC51)</f>
        <v>8886696.2552139163</v>
      </c>
      <c r="AD53" s="13">
        <f>SUMPRODUCT($I$5:$I51,$AD$5:$AD51)</f>
        <v>8886696.2552139163</v>
      </c>
      <c r="AE53" s="13">
        <f>SUMPRODUCT($I$5:$I51,$AE$5:$AE51)</f>
        <v>0</v>
      </c>
      <c r="AF53" s="13">
        <f>SUMPRODUCT($I$5:$I51,$AF$5:$AF51)</f>
        <v>0</v>
      </c>
      <c r="AG53" s="13">
        <f>SUMPRODUCT($I$5:$I51,$AG$5:$AG51)</f>
        <v>0</v>
      </c>
      <c r="AH53" s="13">
        <f>SUMPRODUCT($I$5:$I51,$AH$5:$AH51)</f>
        <v>369924.82991963293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369924.82991963293</v>
      </c>
      <c r="AM53" s="13">
        <f ca="1">SUMPRODUCT($I$5:$I51,$AM$5:$AM51)</f>
        <v>13211568.228349576</v>
      </c>
    </row>
    <row r="54" spans="1:42" ht="11.25" customHeight="1" x14ac:dyDescent="0.25">
      <c r="K54" s="16" t="s">
        <v>441</v>
      </c>
      <c r="L54" s="13">
        <f>'TR TUSD'!$L$56</f>
        <v>0</v>
      </c>
      <c r="M54" s="13">
        <f>'TR TUSD'!$M$56</f>
        <v>42024.992316025076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1389890.3980500002</v>
      </c>
      <c r="R54" s="13">
        <f>'TR TUSD'!$R$56</f>
        <v>222749.78508000006</v>
      </c>
      <c r="S54" s="13">
        <f>'TR TUSD'!$S$56</f>
        <v>0</v>
      </c>
      <c r="T54" s="13">
        <f>'TR TUSD'!$T$56</f>
        <v>1654665.1754460253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2300281.9677699995</v>
      </c>
      <c r="Z54" s="13">
        <f>'TR TUSD'!$Z$56</f>
        <v>0</v>
      </c>
      <c r="AA54" s="13">
        <f>'TR TUSD'!$AA$56</f>
        <v>0</v>
      </c>
      <c r="AB54" s="13">
        <f>'TR TUSD'!$AB$56</f>
        <v>2300281.9677699995</v>
      </c>
      <c r="AC54" s="13">
        <f>'TR TUSD'!$AC$56</f>
        <v>8886696.2552139182</v>
      </c>
      <c r="AD54" s="13">
        <f>'TR TUSD'!$AD$56</f>
        <v>8886696.2552139182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369924.82991963299</v>
      </c>
      <c r="AI54" s="13">
        <f>'TR TUSD'!$AI$56</f>
        <v>0</v>
      </c>
      <c r="AJ54" s="13">
        <f>'TR TUSD'!$AJ$56</f>
        <v>0</v>
      </c>
      <c r="AK54" s="13">
        <f>'TR TUSD'!$AK$56</f>
        <v>0</v>
      </c>
      <c r="AL54" s="13">
        <f>'TR TUSD'!$AL$56</f>
        <v>369924.82991963299</v>
      </c>
      <c r="AM54" s="13">
        <f>CUSTOS!$D$29</f>
        <v>13211568.228349576</v>
      </c>
    </row>
    <row r="55" spans="1:42" ht="11.25" customHeight="1" x14ac:dyDescent="0.25">
      <c r="K55" s="16" t="s">
        <v>442</v>
      </c>
      <c r="L55" s="13">
        <f>CUSTOS!$E$2</f>
        <v>0</v>
      </c>
      <c r="M55" s="13">
        <f>CUSTOS!$E$3</f>
        <v>1320.0697366684942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43111.948945576783</v>
      </c>
      <c r="R55" s="13">
        <f>CUSTOS!$E$8</f>
        <v>6031.9928132301266</v>
      </c>
      <c r="S55" s="13">
        <f>CUSTOS!$E$9</f>
        <v>0</v>
      </c>
      <c r="T55" s="13">
        <f>CUSTOS!$E$10</f>
        <v>50464.011495475403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-72221.181788456161</v>
      </c>
      <c r="Z55" s="13">
        <f>CUSTOS!$E$16</f>
        <v>0</v>
      </c>
      <c r="AA55" s="13">
        <f>CUSTOS!$E$17</f>
        <v>0</v>
      </c>
      <c r="AB55" s="13">
        <f>CUSTOS!$E$18</f>
        <v>-72221.181788456161</v>
      </c>
      <c r="AC55" s="13">
        <f>CUSTOS!$E$19</f>
        <v>-2630709.1586146285</v>
      </c>
      <c r="AD55" s="13">
        <f>CUSTOS!$E$20</f>
        <v>-2630709.1586146285</v>
      </c>
      <c r="AE55" s="13">
        <f>CUSTOS!$E$21</f>
        <v>-188889.07681808999</v>
      </c>
      <c r="AF55" s="13">
        <f>CUSTOS!$E$22</f>
        <v>0</v>
      </c>
      <c r="AG55" s="13">
        <f>CUSTOS!$E$23</f>
        <v>-188889.07681808999</v>
      </c>
      <c r="AH55" s="13">
        <f>CUSTOS!$E$24</f>
        <v>-1946.4421251605609</v>
      </c>
      <c r="AI55" s="13">
        <f>CUSTOS!$E$25</f>
        <v>0</v>
      </c>
      <c r="AJ55" s="13">
        <f>CUSTOS!$E$26</f>
        <v>0</v>
      </c>
      <c r="AK55" s="13">
        <f>CUSTOS!$E$27</f>
        <v>0</v>
      </c>
      <c r="AL55" s="13">
        <f>CUSTOS!$E$28</f>
        <v>-1946.4421251605609</v>
      </c>
      <c r="AM55" s="13">
        <f>CUSTOS!$E$29</f>
        <v>-2843301.8478508601</v>
      </c>
    </row>
    <row r="56" spans="1:42" ht="11.25" customHeight="1" x14ac:dyDescent="0.25">
      <c r="K56" s="16" t="s">
        <v>443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506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>
        <f>SUMIF($L$4:$AL$4,"SUBTOTAL",$L$57:$AL$57)</f>
        <v>0</v>
      </c>
    </row>
    <row r="58" spans="1:42" ht="11.25" customHeight="1" x14ac:dyDescent="0.25">
      <c r="K58" s="16" t="s">
        <v>510</v>
      </c>
      <c r="L58" s="13">
        <f t="shared" ref="L58:R58" si="0">IF((L53-(0))&lt;&gt;0,(L55)/(L53-(0)),0)</f>
        <v>0</v>
      </c>
      <c r="M58" s="13">
        <f t="shared" si="0"/>
        <v>3.1411540226864522E-2</v>
      </c>
      <c r="N58" s="13">
        <f t="shared" ca="1" si="0"/>
        <v>0</v>
      </c>
      <c r="O58" s="13">
        <f t="shared" si="0"/>
        <v>0</v>
      </c>
      <c r="P58" s="13">
        <f t="shared" si="0"/>
        <v>0</v>
      </c>
      <c r="Q58" s="13">
        <f t="shared" si="0"/>
        <v>3.1018236406311128E-2</v>
      </c>
      <c r="R58" s="13">
        <f t="shared" si="0"/>
        <v>2.7079679610302432E-2</v>
      </c>
      <c r="S58" s="13">
        <f>IF((R53-(0)&lt;&gt;0),(S55)/(R53-(0)),0)</f>
        <v>0</v>
      </c>
      <c r="T58" s="13"/>
      <c r="U58" s="13">
        <f t="shared" ref="U58:AA58" si="1">IF((U53-(0))&lt;&gt;0,(U55)/(U53-(0)),0)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-3.1396664756917055E-2</v>
      </c>
      <c r="Z58" s="13">
        <f t="shared" si="1"/>
        <v>0</v>
      </c>
      <c r="AA58" s="13">
        <f t="shared" si="1"/>
        <v>0</v>
      </c>
      <c r="AB58" s="13"/>
      <c r="AC58" s="13">
        <f>IF((AC53-(0))&lt;&gt;0,(AC55)/(AC53-(0)),0)</f>
        <v>-0.29602780190345362</v>
      </c>
      <c r="AD58" s="13"/>
      <c r="AE58" s="13">
        <f ca="1">IF(($AM53-(0))&lt;&gt;0,(AE55)/($AM53-(0)),0)</f>
        <v>-1.429724871062385E-2</v>
      </c>
      <c r="AF58" s="13">
        <f ca="1">IF(($AM53-(0))&lt;&gt;0,(AF55)/($AM53-(0)),0)</f>
        <v>0</v>
      </c>
      <c r="AG58" s="13"/>
      <c r="AH58" s="13">
        <f>IF((AH53-(0))&lt;&gt;0,(AH55)/(AH53-(0)),0)</f>
        <v>-5.2617233765666124E-3</v>
      </c>
      <c r="AI58" s="13">
        <f>IF((AI53-(0))&lt;&gt;0,(AI55)/(AI53-(0)),0)</f>
        <v>0</v>
      </c>
      <c r="AJ58" s="13">
        <f ca="1">IF((AJ53-(0))&lt;&gt;0,(AJ55)/(AJ53-(0)),0)</f>
        <v>0</v>
      </c>
      <c r="AK58" s="13">
        <f ca="1">IF((AK53-(0))&lt;&gt;0,(AK55)/(AK53-(0)),0)</f>
        <v>0</v>
      </c>
      <c r="AL58" s="13"/>
      <c r="AM58" s="13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754" priority="55" operator="notEqual">
      <formula>$L$54-$L$57</formula>
    </cfRule>
    <cfRule type="cellIs" dxfId="753" priority="56" operator="equal">
      <formula>$L$54-$L$57</formula>
    </cfRule>
  </conditionalFormatting>
  <conditionalFormatting sqref="M53">
    <cfRule type="cellIs" dxfId="752" priority="53" operator="notEqual">
      <formula>$M$54-$M$57</formula>
    </cfRule>
    <cfRule type="cellIs" dxfId="751" priority="54" operator="equal">
      <formula>$M$54-$M$57</formula>
    </cfRule>
  </conditionalFormatting>
  <conditionalFormatting sqref="N53">
    <cfRule type="cellIs" dxfId="750" priority="51" operator="notEqual">
      <formula>$N$54-$N$57</formula>
    </cfRule>
    <cfRule type="cellIs" dxfId="749" priority="52" operator="equal">
      <formula>$N$54-$N$57</formula>
    </cfRule>
  </conditionalFormatting>
  <conditionalFormatting sqref="O53">
    <cfRule type="cellIs" dxfId="748" priority="49" operator="notEqual">
      <formula>$O$54-$O$57</formula>
    </cfRule>
    <cfRule type="cellIs" dxfId="747" priority="50" operator="equal">
      <formula>$O$54-$O$57</formula>
    </cfRule>
  </conditionalFormatting>
  <conditionalFormatting sqref="P53">
    <cfRule type="cellIs" dxfId="746" priority="47" operator="notEqual">
      <formula>$P$54-$P$57</formula>
    </cfRule>
    <cfRule type="cellIs" dxfId="745" priority="48" operator="equal">
      <formula>$P$54-$P$57</formula>
    </cfRule>
  </conditionalFormatting>
  <conditionalFormatting sqref="Q53">
    <cfRule type="cellIs" dxfId="744" priority="45" operator="notEqual">
      <formula>$Q$54-$Q$57</formula>
    </cfRule>
    <cfRule type="cellIs" dxfId="743" priority="46" operator="equal">
      <formula>$Q$54-$Q$57</formula>
    </cfRule>
  </conditionalFormatting>
  <conditionalFormatting sqref="R53">
    <cfRule type="cellIs" dxfId="742" priority="43" operator="notEqual">
      <formula>$R$54-$R$57</formula>
    </cfRule>
    <cfRule type="cellIs" dxfId="741" priority="44" operator="equal">
      <formula>$R$54-$R$57</formula>
    </cfRule>
  </conditionalFormatting>
  <conditionalFormatting sqref="S53">
    <cfRule type="cellIs" dxfId="740" priority="41" operator="notEqual">
      <formula>$S$54-$S$57</formula>
    </cfRule>
    <cfRule type="cellIs" dxfId="739" priority="42" operator="equal">
      <formula>$S$54-$S$57</formula>
    </cfRule>
  </conditionalFormatting>
  <conditionalFormatting sqref="T53">
    <cfRule type="cellIs" dxfId="738" priority="39" operator="notEqual">
      <formula>$T$54-$T$57</formula>
    </cfRule>
    <cfRule type="cellIs" dxfId="737" priority="40" operator="equal">
      <formula>$T$54-$T$57</formula>
    </cfRule>
  </conditionalFormatting>
  <conditionalFormatting sqref="U53">
    <cfRule type="cellIs" dxfId="736" priority="37" operator="notEqual">
      <formula>$U$54-$U$57</formula>
    </cfRule>
    <cfRule type="cellIs" dxfId="735" priority="38" operator="equal">
      <formula>$U$54-$U$57</formula>
    </cfRule>
  </conditionalFormatting>
  <conditionalFormatting sqref="V53">
    <cfRule type="cellIs" dxfId="734" priority="35" operator="notEqual">
      <formula>$V$54-$V$57</formula>
    </cfRule>
    <cfRule type="cellIs" dxfId="733" priority="36" operator="equal">
      <formula>$V$54-$V$57</formula>
    </cfRule>
  </conditionalFormatting>
  <conditionalFormatting sqref="W53">
    <cfRule type="cellIs" dxfId="732" priority="33" operator="notEqual">
      <formula>$W$54-$W$57</formula>
    </cfRule>
    <cfRule type="cellIs" dxfId="731" priority="34" operator="equal">
      <formula>$W$54-$W$57</formula>
    </cfRule>
  </conditionalFormatting>
  <conditionalFormatting sqref="X53">
    <cfRule type="cellIs" dxfId="730" priority="31" operator="notEqual">
      <formula>$X$54-$X$57</formula>
    </cfRule>
    <cfRule type="cellIs" dxfId="729" priority="32" operator="equal">
      <formula>$X$54-$X$57</formula>
    </cfRule>
  </conditionalFormatting>
  <conditionalFormatting sqref="Y53">
    <cfRule type="cellIs" dxfId="728" priority="29" operator="notEqual">
      <formula>$Y$54-$Y$57</formula>
    </cfRule>
    <cfRule type="cellIs" dxfId="727" priority="30" operator="equal">
      <formula>$Y$54-$Y$57</formula>
    </cfRule>
  </conditionalFormatting>
  <conditionalFormatting sqref="Z53">
    <cfRule type="cellIs" dxfId="726" priority="27" operator="notEqual">
      <formula>$Z$54-$Z$57</formula>
    </cfRule>
    <cfRule type="cellIs" dxfId="725" priority="28" operator="equal">
      <formula>$Z$54-$Z$57</formula>
    </cfRule>
  </conditionalFormatting>
  <conditionalFormatting sqref="AA53">
    <cfRule type="cellIs" dxfId="724" priority="25" operator="notEqual">
      <formula>$AA$54-$AA$57</formula>
    </cfRule>
    <cfRule type="cellIs" dxfId="723" priority="26" operator="equal">
      <formula>$AA$54-$AA$57</formula>
    </cfRule>
  </conditionalFormatting>
  <conditionalFormatting sqref="AB53">
    <cfRule type="cellIs" dxfId="722" priority="23" operator="notEqual">
      <formula>$AB$54-$AB$57</formula>
    </cfRule>
    <cfRule type="cellIs" dxfId="721" priority="24" operator="equal">
      <formula>$AB$54-$AB$57</formula>
    </cfRule>
  </conditionalFormatting>
  <conditionalFormatting sqref="AC53">
    <cfRule type="cellIs" dxfId="720" priority="21" operator="notEqual">
      <formula>$AC$54-$AC$57</formula>
    </cfRule>
    <cfRule type="cellIs" dxfId="719" priority="22" operator="equal">
      <formula>$AC$54-$AC$57</formula>
    </cfRule>
  </conditionalFormatting>
  <conditionalFormatting sqref="AD53">
    <cfRule type="cellIs" dxfId="718" priority="19" operator="notEqual">
      <formula>$AD$54-$AD$57</formula>
    </cfRule>
    <cfRule type="cellIs" dxfId="717" priority="20" operator="equal">
      <formula>$AD$54-$AD$57</formula>
    </cfRule>
  </conditionalFormatting>
  <conditionalFormatting sqref="AE53">
    <cfRule type="cellIs" dxfId="716" priority="17" operator="notEqual">
      <formula>$AE$54-$AE$57</formula>
    </cfRule>
    <cfRule type="cellIs" dxfId="715" priority="18" operator="equal">
      <formula>$AE$54-$AE$57</formula>
    </cfRule>
  </conditionalFormatting>
  <conditionalFormatting sqref="AF53">
    <cfRule type="cellIs" dxfId="714" priority="16" operator="equal">
      <formula>$AF$54-$AF$57</formula>
    </cfRule>
  </conditionalFormatting>
  <conditionalFormatting sqref="AF53">
    <cfRule type="cellIs" dxfId="713" priority="15" operator="notEqual">
      <formula>$AF$54-$AF$57</formula>
    </cfRule>
  </conditionalFormatting>
  <conditionalFormatting sqref="AG53">
    <cfRule type="cellIs" dxfId="712" priority="14" operator="equal">
      <formula>$AG$54-$AG$57</formula>
    </cfRule>
  </conditionalFormatting>
  <conditionalFormatting sqref="AG53">
    <cfRule type="cellIs" dxfId="711" priority="13" operator="notEqual">
      <formula>$AG$54-$AG$57</formula>
    </cfRule>
  </conditionalFormatting>
  <conditionalFormatting sqref="AH53">
    <cfRule type="cellIs" dxfId="710" priority="12" operator="equal">
      <formula>$AH$54-$AH$57</formula>
    </cfRule>
  </conditionalFormatting>
  <conditionalFormatting sqref="AH53">
    <cfRule type="cellIs" dxfId="709" priority="11" operator="notEqual">
      <formula>$AH$54-$AH$57</formula>
    </cfRule>
  </conditionalFormatting>
  <conditionalFormatting sqref="AI53">
    <cfRule type="cellIs" dxfId="708" priority="10" operator="equal">
      <formula>$AI$54-$AI$57</formula>
    </cfRule>
  </conditionalFormatting>
  <conditionalFormatting sqref="AI53">
    <cfRule type="cellIs" dxfId="707" priority="9" operator="notEqual">
      <formula>$AI$54-$AI$57</formula>
    </cfRule>
  </conditionalFormatting>
  <conditionalFormatting sqref="AJ53">
    <cfRule type="cellIs" dxfId="706" priority="8" operator="equal">
      <formula>$AJ$54-$AJ$57</formula>
    </cfRule>
  </conditionalFormatting>
  <conditionalFormatting sqref="AJ53">
    <cfRule type="cellIs" dxfId="705" priority="7" operator="notEqual">
      <formula>$AJ$54-$AJ$57</formula>
    </cfRule>
  </conditionalFormatting>
  <conditionalFormatting sqref="AK53">
    <cfRule type="cellIs" dxfId="704" priority="6" operator="equal">
      <formula>$AK$54-$AK$57</formula>
    </cfRule>
  </conditionalFormatting>
  <conditionalFormatting sqref="AK53">
    <cfRule type="cellIs" dxfId="703" priority="5" operator="notEqual">
      <formula>$AK$54-$AK$57</formula>
    </cfRule>
  </conditionalFormatting>
  <conditionalFormatting sqref="AL53">
    <cfRule type="cellIs" dxfId="702" priority="4" operator="equal">
      <formula>$AL$54-$AL$57</formula>
    </cfRule>
  </conditionalFormatting>
  <conditionalFormatting sqref="AL53">
    <cfRule type="cellIs" dxfId="701" priority="3" operator="notEqual">
      <formula>$AL$54-$AL$57</formula>
    </cfRule>
  </conditionalFormatting>
  <conditionalFormatting sqref="AM53">
    <cfRule type="cellIs" dxfId="700" priority="2" operator="equal">
      <formula>$AM$54-$AM$57</formula>
    </cfRule>
  </conditionalFormatting>
  <conditionalFormatting sqref="AM53">
    <cfRule type="cellIs" dxfId="699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  <vt:lpstr>TA - Aplicação</vt:lpstr>
      <vt:lpstr>TA - BE</vt:lpstr>
      <vt:lpstr>TA - 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2022-07-19T11:56:46Z</dcterms:created>
  <dcterms:modified xsi:type="dcterms:W3CDTF">2022-07-22T11:42:12Z</dcterms:modified>
</cp:coreProperties>
</file>